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defaultThemeVersion="124226"/>
  <mc:AlternateContent xmlns:mc="http://schemas.openxmlformats.org/markup-compatibility/2006">
    <mc:Choice Requires="x15">
      <x15ac:absPath xmlns:x15ac="http://schemas.microsoft.com/office/spreadsheetml/2010/11/ac" url="https://nursefamilypartnership-my.sharepoint.com/personal/joseph_roth_nursefamilypartnership_org/Documents/Desktop/Budget Templates/"/>
    </mc:Choice>
  </mc:AlternateContent>
  <xr:revisionPtr revIDLastSave="33" documentId="13_ncr:1_{41CF3B9E-902D-44EE-8CC2-98AC8B038B79}" xr6:coauthVersionLast="47" xr6:coauthVersionMax="47" xr10:uidLastSave="{105DED13-DE45-4A22-822A-BC9C927F31D4}"/>
  <bookViews>
    <workbookView xWindow="-120" yWindow="-120" windowWidth="29040" windowHeight="15840" firstSheet="1" activeTab="1" xr2:uid="{00000000-000D-0000-FFFF-FFFF00000000}"/>
  </bookViews>
  <sheets>
    <sheet name="Original back up" sheetId="4" state="hidden" r:id="rId1"/>
    <sheet name="Inputs" sheetId="7" r:id="rId2"/>
    <sheet name="Summary" sheetId="10" r:id="rId3"/>
    <sheet name="Calc" sheetId="5" r:id="rId4"/>
    <sheet name="Fees" sheetId="8" r:id="rId5"/>
    <sheet name="New NHVs-Enrollment Calcs" sheetId="11" r:id="rId6"/>
  </sheets>
  <externalReferences>
    <externalReference r:id="rId7"/>
  </externalReferences>
  <definedNames>
    <definedName name="_xlnm.Print_Area" localSheetId="3">Calc!$A$1:$M$151</definedName>
    <definedName name="_xlnm.Print_Area" localSheetId="1">Inputs!$A$12:$M$95</definedName>
    <definedName name="_xlnm.Print_Area" localSheetId="0">'Original back up'!$A$1:$M$146</definedName>
    <definedName name="_xlnm.Print_Titles" localSheetId="3">Calc!$1:$3</definedName>
    <definedName name="_xlnm.Print_Titles" localSheetId="1">Inputs!$12:$13</definedName>
    <definedName name="_xlnm.Print_Titles" localSheetId="0">'Original back up'!$1:$3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5" i="5" l="1"/>
  <c r="J146" i="5"/>
  <c r="H145" i="5"/>
  <c r="I145" i="5"/>
  <c r="G145" i="5"/>
  <c r="H80" i="5" l="1"/>
  <c r="I80" i="5"/>
  <c r="G80" i="5"/>
  <c r="D77" i="7"/>
  <c r="E77" i="7" s="1"/>
  <c r="E93" i="7" s="1"/>
  <c r="I141" i="5" s="1"/>
  <c r="D78" i="7"/>
  <c r="E78" i="7" s="1"/>
  <c r="E94" i="7" s="1"/>
  <c r="I142" i="5" s="1"/>
  <c r="D94" i="7"/>
  <c r="H142" i="5" s="1"/>
  <c r="C93" i="7"/>
  <c r="C94" i="7"/>
  <c r="D93" i="7" l="1"/>
  <c r="H141" i="5" s="1"/>
  <c r="H76" i="5"/>
  <c r="I76" i="5"/>
  <c r="H77" i="5"/>
  <c r="I77" i="5"/>
  <c r="G76" i="5"/>
  <c r="G77" i="5"/>
  <c r="G53" i="5"/>
  <c r="J53" i="5" s="1"/>
  <c r="G54" i="5"/>
  <c r="J54" i="5" s="1"/>
  <c r="G51" i="5"/>
  <c r="J51" i="5" s="1"/>
  <c r="F5" i="11"/>
  <c r="K54" i="5" l="1"/>
  <c r="L54" i="5"/>
  <c r="D79" i="7"/>
  <c r="E79" i="7" l="1"/>
  <c r="I143" i="5" s="1"/>
  <c r="H143" i="5"/>
  <c r="M54" i="5"/>
  <c r="D53" i="10"/>
  <c r="E53" i="10" s="1"/>
  <c r="F53" i="10" s="1"/>
  <c r="C51" i="10"/>
  <c r="G26" i="11" l="1"/>
  <c r="G25" i="11"/>
  <c r="G27" i="11"/>
  <c r="B36" i="11"/>
  <c r="B37" i="11" s="1"/>
  <c r="G31" i="11"/>
  <c r="G4" i="11"/>
  <c r="H4" i="11" s="1"/>
  <c r="I4" i="11" s="1"/>
  <c r="J4" i="11" s="1"/>
  <c r="K4" i="11" s="1"/>
  <c r="L4" i="11" s="1"/>
  <c r="M4" i="11" s="1"/>
  <c r="N4" i="11" s="1"/>
  <c r="O4" i="11" s="1"/>
  <c r="P4" i="11" s="1"/>
  <c r="Q4" i="11" s="1"/>
  <c r="R4" i="11" s="1"/>
  <c r="S4" i="11" s="1"/>
  <c r="T4" i="11" s="1"/>
  <c r="U4" i="11" s="1"/>
  <c r="V4" i="11" s="1"/>
  <c r="W4" i="11" s="1"/>
  <c r="X4" i="11" s="1"/>
  <c r="Y4" i="11" s="1"/>
  <c r="Z4" i="11" s="1"/>
  <c r="AA4" i="11" s="1"/>
  <c r="AB4" i="11" s="1"/>
  <c r="AC4" i="11" s="1"/>
  <c r="AD4" i="11" s="1"/>
  <c r="AE4" i="11" s="1"/>
  <c r="AF4" i="11" s="1"/>
  <c r="AG4" i="11" s="1"/>
  <c r="AH4" i="11" s="1"/>
  <c r="AI4" i="11" s="1"/>
  <c r="AJ4" i="11" s="1"/>
  <c r="AK4" i="11" s="1"/>
  <c r="AL4" i="11" s="1"/>
  <c r="AM4" i="11" s="1"/>
  <c r="AN4" i="11" s="1"/>
  <c r="AO4" i="11" s="1"/>
  <c r="F32" i="11" l="1"/>
  <c r="F15" i="11"/>
  <c r="F19" i="11"/>
  <c r="F7" i="11"/>
  <c r="F16" i="11"/>
  <c r="F20" i="11"/>
  <c r="F8" i="11"/>
  <c r="F9" i="11"/>
  <c r="F12" i="11"/>
  <c r="F6" i="11"/>
  <c r="F13" i="11"/>
  <c r="F17" i="11"/>
  <c r="F14" i="11"/>
  <c r="F11" i="11"/>
  <c r="F21" i="11"/>
  <c r="F10" i="11"/>
  <c r="F18" i="11"/>
  <c r="H31" i="11"/>
  <c r="G5" i="11"/>
  <c r="F33" i="11"/>
  <c r="G32" i="11"/>
  <c r="B38" i="11"/>
  <c r="G8" i="11" l="1"/>
  <c r="G12" i="11"/>
  <c r="G7" i="11"/>
  <c r="G11" i="11"/>
  <c r="G15" i="11"/>
  <c r="G6" i="11"/>
  <c r="G10" i="11"/>
  <c r="G14" i="11"/>
  <c r="G9" i="11"/>
  <c r="G13" i="11"/>
  <c r="G18" i="11"/>
  <c r="G17" i="11"/>
  <c r="G21" i="11"/>
  <c r="G16" i="11"/>
  <c r="G19" i="11"/>
  <c r="G20" i="11"/>
  <c r="G33" i="11"/>
  <c r="F22" i="11"/>
  <c r="F23" i="11" s="1"/>
  <c r="F35" i="11" s="1"/>
  <c r="B39" i="11"/>
  <c r="H32" i="11"/>
  <c r="I31" i="11"/>
  <c r="H5" i="11"/>
  <c r="B70" i="5"/>
  <c r="H9" i="11" l="1"/>
  <c r="H8" i="11"/>
  <c r="H12" i="11"/>
  <c r="H7" i="11"/>
  <c r="H11" i="11"/>
  <c r="H15" i="11"/>
  <c r="H19" i="11"/>
  <c r="H10" i="11"/>
  <c r="H13" i="11"/>
  <c r="H18" i="11"/>
  <c r="H6" i="11"/>
  <c r="H14" i="11"/>
  <c r="H17" i="11"/>
  <c r="H16" i="11"/>
  <c r="H20" i="11"/>
  <c r="H21" i="11"/>
  <c r="G35" i="11"/>
  <c r="I5" i="11"/>
  <c r="B40" i="11"/>
  <c r="H33" i="11"/>
  <c r="H35" i="11" s="1"/>
  <c r="J31" i="11"/>
  <c r="I32" i="11"/>
  <c r="G22" i="11"/>
  <c r="G23" i="11" s="1"/>
  <c r="A3" i="10"/>
  <c r="G4" i="10"/>
  <c r="B137" i="5"/>
  <c r="E12" i="8"/>
  <c r="F12" i="8"/>
  <c r="G12" i="8"/>
  <c r="H12" i="8"/>
  <c r="I12" i="8"/>
  <c r="D12" i="8"/>
  <c r="B138" i="5"/>
  <c r="B136" i="5"/>
  <c r="B114" i="5"/>
  <c r="H114" i="5"/>
  <c r="I114" i="5"/>
  <c r="G114" i="5"/>
  <c r="F104" i="5"/>
  <c r="F105" i="5"/>
  <c r="F106" i="5"/>
  <c r="F107" i="5"/>
  <c r="F108" i="5"/>
  <c r="B104" i="5"/>
  <c r="C104" i="5"/>
  <c r="B105" i="5"/>
  <c r="C105" i="5"/>
  <c r="B106" i="5"/>
  <c r="C106" i="5"/>
  <c r="B107" i="5"/>
  <c r="C107" i="5"/>
  <c r="B108" i="5"/>
  <c r="C108" i="5"/>
  <c r="C103" i="5"/>
  <c r="B103" i="5"/>
  <c r="D102" i="5"/>
  <c r="I6" i="11" l="1"/>
  <c r="I10" i="11"/>
  <c r="I9" i="11"/>
  <c r="I13" i="11"/>
  <c r="I8" i="11"/>
  <c r="I12" i="11"/>
  <c r="I15" i="11"/>
  <c r="I16" i="11"/>
  <c r="I20" i="11"/>
  <c r="I19" i="11"/>
  <c r="I11" i="11"/>
  <c r="I18" i="11"/>
  <c r="I7" i="11"/>
  <c r="I17" i="11"/>
  <c r="I21" i="11"/>
  <c r="I14" i="11"/>
  <c r="J32" i="11"/>
  <c r="J33" i="11" s="1"/>
  <c r="J35" i="11" s="1"/>
  <c r="K31" i="11"/>
  <c r="H22" i="11"/>
  <c r="H23" i="11" s="1"/>
  <c r="J37" i="11" s="1"/>
  <c r="I36" i="11"/>
  <c r="B41" i="11"/>
  <c r="F36" i="11"/>
  <c r="G36" i="11"/>
  <c r="H36" i="11"/>
  <c r="I33" i="11"/>
  <c r="I35" i="11" s="1"/>
  <c r="J5" i="11"/>
  <c r="D15" i="5"/>
  <c r="J5" i="5"/>
  <c r="G105" i="5" s="1"/>
  <c r="A3" i="5"/>
  <c r="J7" i="11" l="1"/>
  <c r="J11" i="11"/>
  <c r="J6" i="11"/>
  <c r="J10" i="11"/>
  <c r="J14" i="11"/>
  <c r="J9" i="11"/>
  <c r="J13" i="11"/>
  <c r="J8" i="11"/>
  <c r="J17" i="11"/>
  <c r="J21" i="11"/>
  <c r="J15" i="11"/>
  <c r="J16" i="11"/>
  <c r="J20" i="11"/>
  <c r="J19" i="11"/>
  <c r="J18" i="11"/>
  <c r="J12" i="11"/>
  <c r="J36" i="11"/>
  <c r="I22" i="11"/>
  <c r="I23" i="11" s="1"/>
  <c r="K38" i="11" s="1"/>
  <c r="B42" i="11"/>
  <c r="K5" i="11"/>
  <c r="L31" i="11"/>
  <c r="K32" i="11"/>
  <c r="K33" i="11" s="1"/>
  <c r="K35" i="11" s="1"/>
  <c r="K36" i="11"/>
  <c r="K37" i="11"/>
  <c r="F37" i="11"/>
  <c r="G37" i="11"/>
  <c r="H37" i="11"/>
  <c r="I37" i="11"/>
  <c r="G108" i="5"/>
  <c r="G104" i="5"/>
  <c r="K5" i="5"/>
  <c r="J156" i="5"/>
  <c r="D4" i="10"/>
  <c r="I4" i="10" s="1"/>
  <c r="O5" i="5"/>
  <c r="G107" i="5"/>
  <c r="G106" i="5"/>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2" i="8"/>
  <c r="H31" i="8"/>
  <c r="I31" i="8" s="1"/>
  <c r="H30" i="8"/>
  <c r="I30" i="8" s="1"/>
  <c r="H29" i="8"/>
  <c r="I29" i="8" s="1"/>
  <c r="H28" i="8"/>
  <c r="I28" i="8" s="1"/>
  <c r="H27" i="8"/>
  <c r="I27" i="8" s="1"/>
  <c r="H26" i="8"/>
  <c r="I26" i="8" s="1"/>
  <c r="H25" i="8"/>
  <c r="I25" i="8" s="1"/>
  <c r="I16" i="8"/>
  <c r="I20" i="8"/>
  <c r="H17" i="8"/>
  <c r="I17" i="8" s="1"/>
  <c r="H18" i="8"/>
  <c r="I18" i="8" s="1"/>
  <c r="H19" i="8"/>
  <c r="I19" i="8" s="1"/>
  <c r="H20" i="8"/>
  <c r="H21" i="8"/>
  <c r="I21" i="8" s="1"/>
  <c r="H22" i="8"/>
  <c r="I22" i="8" s="1"/>
  <c r="H16" i="8"/>
  <c r="O113" i="5" l="1"/>
  <c r="O42" i="5"/>
  <c r="O65" i="5"/>
  <c r="O90" i="5"/>
  <c r="O102" i="5"/>
  <c r="O134" i="5"/>
  <c r="O16" i="5"/>
  <c r="J22" i="11"/>
  <c r="J23" i="11" s="1"/>
  <c r="K8" i="11"/>
  <c r="K12" i="11"/>
  <c r="K7" i="11"/>
  <c r="K11" i="11"/>
  <c r="K15" i="11"/>
  <c r="K6" i="11"/>
  <c r="K10" i="11"/>
  <c r="K14" i="11"/>
  <c r="K18" i="11"/>
  <c r="K9" i="11"/>
  <c r="K17" i="11"/>
  <c r="K21" i="11"/>
  <c r="K13" i="11"/>
  <c r="K16" i="11"/>
  <c r="K20" i="11"/>
  <c r="K19" i="11"/>
  <c r="L5" i="11"/>
  <c r="B43" i="11"/>
  <c r="L32" i="11"/>
  <c r="L36" i="11"/>
  <c r="M31" i="11"/>
  <c r="L37" i="11"/>
  <c r="L38" i="11"/>
  <c r="G38" i="11"/>
  <c r="H38" i="11"/>
  <c r="F38" i="11"/>
  <c r="I38" i="11"/>
  <c r="J38" i="11"/>
  <c r="L5" i="5"/>
  <c r="E4" i="10"/>
  <c r="J4" i="10" s="1"/>
  <c r="H108" i="5"/>
  <c r="H107" i="5"/>
  <c r="H104" i="5"/>
  <c r="K156" i="5"/>
  <c r="P5" i="5"/>
  <c r="H105" i="5"/>
  <c r="H106" i="5"/>
  <c r="B58" i="5"/>
  <c r="F35" i="8"/>
  <c r="G35" i="8" s="1"/>
  <c r="H35" i="8" s="1"/>
  <c r="I35" i="8" s="1"/>
  <c r="F36" i="8"/>
  <c r="G36" i="8" s="1"/>
  <c r="H36" i="8" s="1"/>
  <c r="I36" i="8" s="1"/>
  <c r="F34" i="8"/>
  <c r="G34" i="8" s="1"/>
  <c r="H34" i="8" s="1"/>
  <c r="I34" i="8" s="1"/>
  <c r="F6" i="8"/>
  <c r="G6" i="8" s="1"/>
  <c r="H6" i="8" s="1"/>
  <c r="I6" i="8" s="1"/>
  <c r="F7" i="8"/>
  <c r="G7" i="8" s="1"/>
  <c r="H7" i="8" s="1"/>
  <c r="I7" i="8" s="1"/>
  <c r="F8" i="8"/>
  <c r="G8" i="8" s="1"/>
  <c r="H8" i="8" s="1"/>
  <c r="I8" i="8" s="1"/>
  <c r="F9" i="8"/>
  <c r="G9" i="8" s="1"/>
  <c r="H9" i="8" s="1"/>
  <c r="I9" i="8" s="1"/>
  <c r="F10" i="8"/>
  <c r="G10" i="8" s="1"/>
  <c r="H10" i="8" s="1"/>
  <c r="I10" i="8" s="1"/>
  <c r="F5" i="8"/>
  <c r="G5" i="8" s="1"/>
  <c r="H5" i="8" s="1"/>
  <c r="I5" i="8" s="1"/>
  <c r="E2" i="8"/>
  <c r="F2" i="8" s="1"/>
  <c r="G2" i="8" s="1"/>
  <c r="H2" i="8" s="1"/>
  <c r="I2" i="8" s="1"/>
  <c r="E11" i="8"/>
  <c r="K39" i="11" l="1"/>
  <c r="L39" i="11"/>
  <c r="P134" i="5"/>
  <c r="P65" i="5"/>
  <c r="P90" i="5"/>
  <c r="P16" i="5"/>
  <c r="P102" i="5"/>
  <c r="P42" i="5"/>
  <c r="P113" i="5"/>
  <c r="J39" i="11"/>
  <c r="G39" i="11"/>
  <c r="F4" i="10"/>
  <c r="K4" i="10" s="1"/>
  <c r="H39" i="11"/>
  <c r="L156" i="5"/>
  <c r="I39" i="11"/>
  <c r="F39" i="11"/>
  <c r="L9" i="11"/>
  <c r="L8" i="11"/>
  <c r="L12" i="11"/>
  <c r="L7" i="11"/>
  <c r="L11" i="11"/>
  <c r="L15" i="11"/>
  <c r="L14" i="11"/>
  <c r="L19" i="11"/>
  <c r="L18" i="11"/>
  <c r="L10" i="11"/>
  <c r="L17" i="11"/>
  <c r="L16" i="11"/>
  <c r="L21" i="11"/>
  <c r="L6" i="11"/>
  <c r="L13" i="11"/>
  <c r="L20" i="11"/>
  <c r="I105" i="5"/>
  <c r="I108" i="5"/>
  <c r="N31" i="11"/>
  <c r="M32" i="11"/>
  <c r="M37" i="11"/>
  <c r="M38" i="11"/>
  <c r="M39" i="11"/>
  <c r="M5" i="11"/>
  <c r="K22" i="11"/>
  <c r="K23" i="11" s="1"/>
  <c r="B44" i="11"/>
  <c r="L33" i="11"/>
  <c r="L35" i="11" s="1"/>
  <c r="I106" i="5"/>
  <c r="I104" i="5"/>
  <c r="I107" i="5"/>
  <c r="Q5" i="5"/>
  <c r="F11" i="8"/>
  <c r="Q90" i="5" l="1"/>
  <c r="Q102" i="5"/>
  <c r="Q42" i="5"/>
  <c r="Q16" i="5"/>
  <c r="Q134" i="5"/>
  <c r="Q65" i="5"/>
  <c r="Q113" i="5"/>
  <c r="M6" i="11"/>
  <c r="M10" i="11"/>
  <c r="M9" i="11"/>
  <c r="M13" i="11"/>
  <c r="M8" i="11"/>
  <c r="M12" i="11"/>
  <c r="M7" i="11"/>
  <c r="M16" i="11"/>
  <c r="M20" i="11"/>
  <c r="M14" i="11"/>
  <c r="M19" i="11"/>
  <c r="M15" i="11"/>
  <c r="M18" i="11"/>
  <c r="M21" i="11"/>
  <c r="M11" i="11"/>
  <c r="M17" i="11"/>
  <c r="M36" i="11"/>
  <c r="F40" i="11"/>
  <c r="I40" i="11"/>
  <c r="K40" i="11"/>
  <c r="G40" i="11"/>
  <c r="J40" i="11"/>
  <c r="H40" i="11"/>
  <c r="L40" i="11"/>
  <c r="M40" i="11"/>
  <c r="B45" i="11"/>
  <c r="L22" i="11"/>
  <c r="L23" i="11" s="1"/>
  <c r="N41" i="11" s="1"/>
  <c r="N5" i="11"/>
  <c r="O31" i="11"/>
  <c r="N32" i="11"/>
  <c r="N37" i="11"/>
  <c r="N38" i="11"/>
  <c r="N39" i="11"/>
  <c r="N40" i="11"/>
  <c r="M33" i="11"/>
  <c r="M35" i="11" s="1"/>
  <c r="G11" i="8"/>
  <c r="H11" i="8" s="1"/>
  <c r="I11" i="8" s="1"/>
  <c r="N36" i="11" l="1"/>
  <c r="N7" i="11"/>
  <c r="N11" i="11"/>
  <c r="N6" i="11"/>
  <c r="N10" i="11"/>
  <c r="N14" i="11"/>
  <c r="N9" i="11"/>
  <c r="N13" i="11"/>
  <c r="N12" i="11"/>
  <c r="N17" i="11"/>
  <c r="N21" i="11"/>
  <c r="N8" i="11"/>
  <c r="N16" i="11"/>
  <c r="N20" i="11"/>
  <c r="N19" i="11"/>
  <c r="N18" i="11"/>
  <c r="N15" i="11"/>
  <c r="N33" i="11"/>
  <c r="N35" i="11" s="1"/>
  <c r="I41" i="11"/>
  <c r="K41" i="11"/>
  <c r="F41" i="11"/>
  <c r="H41" i="11"/>
  <c r="J41" i="11"/>
  <c r="G41" i="11"/>
  <c r="L41" i="11"/>
  <c r="M41" i="11"/>
  <c r="P31" i="11"/>
  <c r="O32" i="11"/>
  <c r="O33" i="11" s="1"/>
  <c r="O35" i="11" s="1"/>
  <c r="O37" i="11"/>
  <c r="O38" i="11"/>
  <c r="O39" i="11"/>
  <c r="O40" i="11"/>
  <c r="O41" i="11"/>
  <c r="M22" i="11"/>
  <c r="M23" i="11" s="1"/>
  <c r="O42" i="11" s="1"/>
  <c r="B46" i="11"/>
  <c r="O5" i="11"/>
  <c r="D100" i="7"/>
  <c r="E100" i="7" s="1"/>
  <c r="O36" i="11" l="1"/>
  <c r="O8" i="11"/>
  <c r="O12" i="11"/>
  <c r="O7" i="11"/>
  <c r="O11" i="11"/>
  <c r="O15" i="11"/>
  <c r="O6" i="11"/>
  <c r="O10" i="11"/>
  <c r="O14" i="11"/>
  <c r="O13" i="11"/>
  <c r="O18" i="11"/>
  <c r="O17" i="11"/>
  <c r="O21" i="11"/>
  <c r="O9" i="11"/>
  <c r="O16" i="11"/>
  <c r="O19" i="11"/>
  <c r="O20" i="11"/>
  <c r="P5" i="11"/>
  <c r="N22" i="11"/>
  <c r="N23" i="11" s="1"/>
  <c r="P43" i="11" s="1"/>
  <c r="B47" i="11"/>
  <c r="P32" i="11"/>
  <c r="P33" i="11" s="1"/>
  <c r="P35" i="11" s="1"/>
  <c r="P36" i="11"/>
  <c r="Q31" i="11"/>
  <c r="P37" i="11"/>
  <c r="P38" i="11"/>
  <c r="P39" i="11"/>
  <c r="P40" i="11"/>
  <c r="P41" i="11"/>
  <c r="P42" i="11"/>
  <c r="J42" i="11"/>
  <c r="G42" i="11"/>
  <c r="F42" i="11"/>
  <c r="H42" i="11"/>
  <c r="I42" i="11"/>
  <c r="L42" i="11"/>
  <c r="K42" i="11"/>
  <c r="M42" i="11"/>
  <c r="N42" i="11"/>
  <c r="L119" i="5"/>
  <c r="P9" i="11" l="1"/>
  <c r="P8" i="11"/>
  <c r="P12" i="11"/>
  <c r="P7" i="11"/>
  <c r="P11" i="11"/>
  <c r="P15" i="11"/>
  <c r="P6" i="11"/>
  <c r="P19" i="11"/>
  <c r="P13" i="11"/>
  <c r="P18" i="11"/>
  <c r="P14" i="11"/>
  <c r="P17" i="11"/>
  <c r="P20" i="11"/>
  <c r="P21" i="11"/>
  <c r="P16" i="11"/>
  <c r="P10" i="11"/>
  <c r="B48" i="11"/>
  <c r="Q32" i="11"/>
  <c r="Q33" i="11" s="1"/>
  <c r="Q35" i="11" s="1"/>
  <c r="R31" i="11"/>
  <c r="Q37" i="11"/>
  <c r="C37" i="11" s="1"/>
  <c r="Q36" i="11"/>
  <c r="C36" i="11" s="1"/>
  <c r="Q38" i="11"/>
  <c r="C38" i="11" s="1"/>
  <c r="Q39" i="11"/>
  <c r="C39" i="11" s="1"/>
  <c r="Q40" i="11"/>
  <c r="C40" i="11" s="1"/>
  <c r="Q41" i="11"/>
  <c r="C41" i="11" s="1"/>
  <c r="Q42" i="11"/>
  <c r="C42" i="11" s="1"/>
  <c r="Q43" i="11"/>
  <c r="Q5" i="11"/>
  <c r="O22" i="11"/>
  <c r="O23" i="11" s="1"/>
  <c r="Q44" i="11" s="1"/>
  <c r="M43" i="11"/>
  <c r="L43" i="11"/>
  <c r="H43" i="11"/>
  <c r="G43" i="11"/>
  <c r="N43" i="11"/>
  <c r="K43" i="11"/>
  <c r="J43" i="11"/>
  <c r="I43" i="11"/>
  <c r="F43" i="11"/>
  <c r="O43" i="11"/>
  <c r="D101" i="7"/>
  <c r="E101" i="7" s="1"/>
  <c r="Q6" i="11" l="1"/>
  <c r="Q10" i="11"/>
  <c r="C10" i="11" s="1"/>
  <c r="Q9" i="11"/>
  <c r="C9" i="11" s="1"/>
  <c r="Q13" i="11"/>
  <c r="C13" i="11" s="1"/>
  <c r="Q8" i="11"/>
  <c r="C8" i="11" s="1"/>
  <c r="Q12" i="11"/>
  <c r="C12" i="11" s="1"/>
  <c r="Q11" i="11"/>
  <c r="Q15" i="11"/>
  <c r="C15" i="11" s="1"/>
  <c r="Q16" i="11"/>
  <c r="C16" i="11" s="1"/>
  <c r="Q20" i="11"/>
  <c r="C20" i="11" s="1"/>
  <c r="Q7" i="11"/>
  <c r="C7" i="11" s="1"/>
  <c r="Q19" i="11"/>
  <c r="C19" i="11" s="1"/>
  <c r="Q18" i="11"/>
  <c r="C18" i="11" s="1"/>
  <c r="Q14" i="11"/>
  <c r="C14" i="11" s="1"/>
  <c r="Q21" i="11"/>
  <c r="C21" i="11" s="1"/>
  <c r="Q17" i="11"/>
  <c r="C17" i="11" s="1"/>
  <c r="C35" i="11"/>
  <c r="N44" i="11"/>
  <c r="K44" i="11"/>
  <c r="G44" i="11"/>
  <c r="J44" i="11"/>
  <c r="L44" i="11"/>
  <c r="H44" i="11"/>
  <c r="I44" i="11"/>
  <c r="F44" i="11"/>
  <c r="M44" i="11"/>
  <c r="O44" i="11"/>
  <c r="P44" i="11"/>
  <c r="S31" i="11"/>
  <c r="R32" i="11"/>
  <c r="R33" i="11" s="1"/>
  <c r="R35" i="11" s="1"/>
  <c r="R36" i="11"/>
  <c r="R37" i="11"/>
  <c r="R38" i="11"/>
  <c r="R39" i="11"/>
  <c r="R40" i="11"/>
  <c r="R41" i="11"/>
  <c r="R42" i="11"/>
  <c r="R43" i="11"/>
  <c r="R44" i="11"/>
  <c r="C43" i="11"/>
  <c r="P22" i="11"/>
  <c r="P23" i="11" s="1"/>
  <c r="R45" i="11" s="1"/>
  <c r="C11" i="11"/>
  <c r="R5" i="11"/>
  <c r="B49" i="11"/>
  <c r="G79" i="5"/>
  <c r="R7" i="11" l="1"/>
  <c r="R11" i="11"/>
  <c r="R6" i="11"/>
  <c r="R10" i="11"/>
  <c r="R14" i="11"/>
  <c r="R9" i="11"/>
  <c r="R13" i="11"/>
  <c r="R17" i="11"/>
  <c r="R21" i="11"/>
  <c r="R12" i="11"/>
  <c r="R15" i="11"/>
  <c r="R16" i="11"/>
  <c r="R20" i="11"/>
  <c r="R8" i="11"/>
  <c r="R19" i="11"/>
  <c r="R18" i="11"/>
  <c r="B50" i="11"/>
  <c r="Q22" i="11"/>
  <c r="Q23" i="11" s="1"/>
  <c r="S46" i="11" s="1"/>
  <c r="C6" i="11"/>
  <c r="C22" i="11" s="1"/>
  <c r="N45" i="11"/>
  <c r="M45" i="11"/>
  <c r="G45" i="11"/>
  <c r="J45" i="11"/>
  <c r="H45" i="11"/>
  <c r="K45" i="11"/>
  <c r="F45" i="11"/>
  <c r="O45" i="11"/>
  <c r="L45" i="11"/>
  <c r="P45" i="11"/>
  <c r="I45" i="11"/>
  <c r="Q45" i="11"/>
  <c r="C44" i="11"/>
  <c r="S5" i="11"/>
  <c r="T31" i="11"/>
  <c r="S36" i="11"/>
  <c r="S32" i="11"/>
  <c r="S33" i="11" s="1"/>
  <c r="S35" i="11" s="1"/>
  <c r="S37" i="11"/>
  <c r="S38" i="11"/>
  <c r="S39" i="11"/>
  <c r="S40" i="11"/>
  <c r="S41" i="11"/>
  <c r="S42" i="11"/>
  <c r="S43" i="11"/>
  <c r="S44" i="11"/>
  <c r="S45" i="11"/>
  <c r="H146" i="5"/>
  <c r="G146" i="5"/>
  <c r="G143" i="5"/>
  <c r="I146" i="5"/>
  <c r="G78" i="5"/>
  <c r="S8" i="11" l="1"/>
  <c r="S12" i="11"/>
  <c r="S7" i="11"/>
  <c r="S11" i="11"/>
  <c r="S15" i="11"/>
  <c r="S6" i="11"/>
  <c r="S10" i="11"/>
  <c r="S14" i="11"/>
  <c r="S18" i="11"/>
  <c r="S17" i="11"/>
  <c r="S21" i="11"/>
  <c r="S13" i="11"/>
  <c r="S16" i="11"/>
  <c r="S9" i="11"/>
  <c r="S19" i="11"/>
  <c r="S20" i="11"/>
  <c r="T5" i="11"/>
  <c r="T32" i="11"/>
  <c r="T33" i="11" s="1"/>
  <c r="T35" i="11" s="1"/>
  <c r="T36" i="11"/>
  <c r="U31" i="11"/>
  <c r="T37" i="11"/>
  <c r="T38" i="11"/>
  <c r="T39" i="11"/>
  <c r="T40" i="11"/>
  <c r="T41" i="11"/>
  <c r="T42" i="11"/>
  <c r="T43" i="11"/>
  <c r="T44" i="11"/>
  <c r="T45" i="11"/>
  <c r="T46" i="11"/>
  <c r="R22" i="11"/>
  <c r="R23" i="11" s="1"/>
  <c r="T47" i="11" s="1"/>
  <c r="B51" i="11"/>
  <c r="C45" i="11"/>
  <c r="K46" i="11"/>
  <c r="J46" i="11"/>
  <c r="O46" i="11"/>
  <c r="M46" i="11"/>
  <c r="Q46" i="11"/>
  <c r="G46" i="11"/>
  <c r="N46" i="11"/>
  <c r="H46" i="11"/>
  <c r="P46" i="11"/>
  <c r="I46" i="11"/>
  <c r="F46" i="11"/>
  <c r="L46" i="11"/>
  <c r="R46" i="11"/>
  <c r="T9" i="11" l="1"/>
  <c r="T8" i="11"/>
  <c r="T12" i="11"/>
  <c r="T7" i="11"/>
  <c r="T11" i="11"/>
  <c r="T15" i="11"/>
  <c r="T10" i="11"/>
  <c r="T14" i="11"/>
  <c r="T19" i="11"/>
  <c r="T6" i="11"/>
  <c r="T18" i="11"/>
  <c r="T17" i="11"/>
  <c r="T20" i="11"/>
  <c r="T13" i="11"/>
  <c r="T16" i="11"/>
  <c r="T21" i="11"/>
  <c r="U5" i="11"/>
  <c r="S22" i="11"/>
  <c r="S23" i="11" s="1"/>
  <c r="U48" i="11" s="1"/>
  <c r="B52" i="11"/>
  <c r="J47" i="11"/>
  <c r="I47" i="11"/>
  <c r="N47" i="11"/>
  <c r="O47" i="11"/>
  <c r="F47" i="11"/>
  <c r="M47" i="11"/>
  <c r="L47" i="11"/>
  <c r="P47" i="11"/>
  <c r="H47" i="11"/>
  <c r="G47" i="11"/>
  <c r="K47" i="11"/>
  <c r="Q47" i="11"/>
  <c r="R47" i="11"/>
  <c r="S47" i="11"/>
  <c r="U32" i="11"/>
  <c r="U33" i="11" s="1"/>
  <c r="U35" i="11" s="1"/>
  <c r="V31" i="11"/>
  <c r="U37" i="11"/>
  <c r="U36" i="11"/>
  <c r="U38" i="11"/>
  <c r="U39" i="11"/>
  <c r="U40" i="11"/>
  <c r="U41" i="11"/>
  <c r="U42" i="11"/>
  <c r="U43" i="11"/>
  <c r="U44" i="11"/>
  <c r="U45" i="11"/>
  <c r="U46" i="11"/>
  <c r="U47" i="11"/>
  <c r="C46" i="11"/>
  <c r="U6" i="11" l="1"/>
  <c r="U10" i="11"/>
  <c r="U9" i="11"/>
  <c r="U13" i="11"/>
  <c r="U8" i="11"/>
  <c r="U12" i="11"/>
  <c r="U16" i="11"/>
  <c r="U20" i="11"/>
  <c r="U11" i="11"/>
  <c r="U14" i="11"/>
  <c r="U19" i="11"/>
  <c r="U7" i="11"/>
  <c r="U15" i="11"/>
  <c r="U18" i="11"/>
  <c r="U17" i="11"/>
  <c r="U21" i="11"/>
  <c r="K48" i="11"/>
  <c r="R48" i="11"/>
  <c r="P48" i="11"/>
  <c r="S48" i="11"/>
  <c r="I48" i="11"/>
  <c r="L48" i="11"/>
  <c r="G48" i="11"/>
  <c r="N48" i="11"/>
  <c r="H48" i="11"/>
  <c r="O48" i="11"/>
  <c r="M48" i="11"/>
  <c r="J48" i="11"/>
  <c r="F48" i="11"/>
  <c r="Q48" i="11"/>
  <c r="T48" i="11"/>
  <c r="V32" i="11"/>
  <c r="V33" i="11" s="1"/>
  <c r="V35" i="11" s="1"/>
  <c r="W31" i="11"/>
  <c r="V37" i="11"/>
  <c r="V36" i="11"/>
  <c r="V38" i="11"/>
  <c r="V39" i="11"/>
  <c r="V40" i="11"/>
  <c r="V41" i="11"/>
  <c r="V42" i="11"/>
  <c r="V43" i="11"/>
  <c r="V44" i="11"/>
  <c r="V45" i="11"/>
  <c r="V46" i="11"/>
  <c r="V47" i="11"/>
  <c r="V48" i="11"/>
  <c r="T22" i="11"/>
  <c r="T23" i="11" s="1"/>
  <c r="C47" i="11"/>
  <c r="B53" i="11"/>
  <c r="V5" i="11"/>
  <c r="V7" i="11" l="1"/>
  <c r="V11" i="11"/>
  <c r="V6" i="11"/>
  <c r="V10" i="11"/>
  <c r="V14" i="11"/>
  <c r="V9" i="11"/>
  <c r="V13" i="11"/>
  <c r="V17" i="11"/>
  <c r="V21" i="11"/>
  <c r="V16" i="11"/>
  <c r="V20" i="11"/>
  <c r="V12" i="11"/>
  <c r="V19" i="11"/>
  <c r="V15" i="11"/>
  <c r="V18" i="11"/>
  <c r="V8" i="11"/>
  <c r="W5" i="11"/>
  <c r="B54" i="11"/>
  <c r="X31" i="11"/>
  <c r="W36" i="11"/>
  <c r="W37" i="11"/>
  <c r="W32" i="11"/>
  <c r="W33" i="11" s="1"/>
  <c r="W35" i="11" s="1"/>
  <c r="W38" i="11"/>
  <c r="W39" i="11"/>
  <c r="W40" i="11"/>
  <c r="W41" i="11"/>
  <c r="W42" i="11"/>
  <c r="W43" i="11"/>
  <c r="W44" i="11"/>
  <c r="W45" i="11"/>
  <c r="W46" i="11"/>
  <c r="W47" i="11"/>
  <c r="W48" i="11"/>
  <c r="W49" i="11"/>
  <c r="C48" i="11"/>
  <c r="U22" i="11"/>
  <c r="U23" i="11" s="1"/>
  <c r="W50" i="11" s="1"/>
  <c r="O49" i="11"/>
  <c r="F49" i="11"/>
  <c r="M49" i="11"/>
  <c r="L49" i="11"/>
  <c r="P49" i="11"/>
  <c r="H49" i="11"/>
  <c r="J49" i="11"/>
  <c r="K49" i="11"/>
  <c r="R49" i="11"/>
  <c r="S49" i="11"/>
  <c r="G49" i="11"/>
  <c r="N49" i="11"/>
  <c r="Q49" i="11"/>
  <c r="I49" i="11"/>
  <c r="T49" i="11"/>
  <c r="U49" i="11"/>
  <c r="V49" i="11"/>
  <c r="C86" i="5"/>
  <c r="L101" i="5"/>
  <c r="K101" i="5"/>
  <c r="L42" i="5"/>
  <c r="W8" i="11" l="1"/>
  <c r="W12" i="11"/>
  <c r="W7" i="11"/>
  <c r="W11" i="11"/>
  <c r="W15" i="11"/>
  <c r="W6" i="11"/>
  <c r="W10" i="11"/>
  <c r="W14" i="11"/>
  <c r="W9" i="11"/>
  <c r="W13" i="11"/>
  <c r="W18" i="11"/>
  <c r="W17" i="11"/>
  <c r="W21" i="11"/>
  <c r="W16" i="11"/>
  <c r="W20" i="11"/>
  <c r="W19" i="11"/>
  <c r="X32" i="11"/>
  <c r="X33" i="11" s="1"/>
  <c r="X35" i="11" s="1"/>
  <c r="Y31" i="11"/>
  <c r="X36" i="11"/>
  <c r="X37" i="11"/>
  <c r="X38" i="11"/>
  <c r="X39" i="11"/>
  <c r="X40" i="11"/>
  <c r="X41" i="11"/>
  <c r="X42" i="11"/>
  <c r="X43" i="11"/>
  <c r="X44" i="11"/>
  <c r="X45" i="11"/>
  <c r="X46" i="11"/>
  <c r="X47" i="11"/>
  <c r="X48" i="11"/>
  <c r="X49" i="11"/>
  <c r="X50" i="11"/>
  <c r="B55" i="11"/>
  <c r="V22" i="11"/>
  <c r="V23" i="11" s="1"/>
  <c r="X51" i="11" s="1"/>
  <c r="C49" i="11"/>
  <c r="X5" i="11"/>
  <c r="G50" i="11"/>
  <c r="N50" i="11"/>
  <c r="H50" i="11"/>
  <c r="F50" i="11"/>
  <c r="Q50" i="11"/>
  <c r="R50" i="11"/>
  <c r="S50" i="11"/>
  <c r="J50" i="11"/>
  <c r="T50" i="11"/>
  <c r="I50" i="11"/>
  <c r="O50" i="11"/>
  <c r="L50" i="11"/>
  <c r="K50" i="11"/>
  <c r="M50" i="11"/>
  <c r="P50" i="11"/>
  <c r="U50" i="11"/>
  <c r="V50" i="11"/>
  <c r="G139" i="5"/>
  <c r="H139" i="5" s="1"/>
  <c r="I139" i="5" s="1"/>
  <c r="G75" i="5"/>
  <c r="X9" i="11" l="1"/>
  <c r="X8" i="11"/>
  <c r="X12" i="11"/>
  <c r="X7" i="11"/>
  <c r="X11" i="11"/>
  <c r="X15" i="11"/>
  <c r="X19" i="11"/>
  <c r="X10" i="11"/>
  <c r="X13" i="11"/>
  <c r="X18" i="11"/>
  <c r="X6" i="11"/>
  <c r="X14" i="11"/>
  <c r="X17" i="11"/>
  <c r="X16" i="11"/>
  <c r="X20" i="11"/>
  <c r="X21" i="11"/>
  <c r="C50" i="11"/>
  <c r="B56" i="11"/>
  <c r="W22" i="11"/>
  <c r="W23" i="11" s="1"/>
  <c r="Y52" i="11" s="1"/>
  <c r="Y5" i="11"/>
  <c r="S51" i="11"/>
  <c r="J51" i="11"/>
  <c r="U51" i="11"/>
  <c r="T51" i="11"/>
  <c r="I51" i="11"/>
  <c r="N51" i="11"/>
  <c r="H51" i="11"/>
  <c r="O51" i="11"/>
  <c r="F51" i="11"/>
  <c r="M51" i="11"/>
  <c r="L51" i="11"/>
  <c r="P51" i="11"/>
  <c r="Q51" i="11"/>
  <c r="K51" i="11"/>
  <c r="R51" i="11"/>
  <c r="G51" i="11"/>
  <c r="V51" i="11"/>
  <c r="W51" i="11"/>
  <c r="Z31" i="11"/>
  <c r="Y32" i="11"/>
  <c r="Y33" i="11" s="1"/>
  <c r="Y35" i="11" s="1"/>
  <c r="Y36" i="11"/>
  <c r="Y37" i="11"/>
  <c r="Y38" i="11"/>
  <c r="Y39" i="11"/>
  <c r="Y40" i="11"/>
  <c r="Y41" i="11"/>
  <c r="Y42" i="11"/>
  <c r="Y43" i="11"/>
  <c r="Y44" i="11"/>
  <c r="Y45" i="11"/>
  <c r="Y46" i="11"/>
  <c r="Y47" i="11"/>
  <c r="Y48" i="11"/>
  <c r="Y49" i="11"/>
  <c r="Y50" i="11"/>
  <c r="Y51" i="11"/>
  <c r="Y6" i="11" l="1"/>
  <c r="Y10" i="11"/>
  <c r="Y9" i="11"/>
  <c r="Y13" i="11"/>
  <c r="Y8" i="11"/>
  <c r="Y12" i="11"/>
  <c r="Y15" i="11"/>
  <c r="Y16" i="11"/>
  <c r="Y20" i="11"/>
  <c r="Y19" i="11"/>
  <c r="Y11" i="11"/>
  <c r="Y18" i="11"/>
  <c r="Y14" i="11"/>
  <c r="Y7" i="11"/>
  <c r="Y17" i="11"/>
  <c r="Y21" i="11"/>
  <c r="C51" i="11"/>
  <c r="Z32" i="11"/>
  <c r="Z33" i="11" s="1"/>
  <c r="Z35" i="11" s="1"/>
  <c r="AA31" i="11"/>
  <c r="Z37" i="11"/>
  <c r="Z36" i="11"/>
  <c r="Z38" i="11"/>
  <c r="Z39" i="11"/>
  <c r="Z40" i="11"/>
  <c r="Z41" i="11"/>
  <c r="Z42" i="11"/>
  <c r="Z43" i="11"/>
  <c r="Z44" i="11"/>
  <c r="Z45" i="11"/>
  <c r="Z46" i="11"/>
  <c r="Z47" i="11"/>
  <c r="Z48" i="11"/>
  <c r="Z49" i="11"/>
  <c r="Z50" i="11"/>
  <c r="Z51" i="11"/>
  <c r="Z52" i="11"/>
  <c r="B57" i="11"/>
  <c r="X22" i="11"/>
  <c r="X23" i="11" s="1"/>
  <c r="Z5" i="11"/>
  <c r="M52" i="11"/>
  <c r="G52" i="11"/>
  <c r="V52" i="11"/>
  <c r="S52" i="11"/>
  <c r="L52" i="11"/>
  <c r="I52" i="11"/>
  <c r="W52" i="11"/>
  <c r="P52" i="11"/>
  <c r="N52" i="11"/>
  <c r="H52" i="11"/>
  <c r="Q52" i="11"/>
  <c r="J52" i="11"/>
  <c r="U52" i="11"/>
  <c r="R52" i="11"/>
  <c r="K52" i="11"/>
  <c r="O52" i="11"/>
  <c r="F52" i="11"/>
  <c r="T52" i="11"/>
  <c r="X52" i="11"/>
  <c r="F19" i="5"/>
  <c r="Z7" i="11" l="1"/>
  <c r="Z11" i="11"/>
  <c r="Z6" i="11"/>
  <c r="Z10" i="11"/>
  <c r="Z14" i="11"/>
  <c r="Z9" i="11"/>
  <c r="Z13" i="11"/>
  <c r="Z8" i="11"/>
  <c r="Z17" i="11"/>
  <c r="Z21" i="11"/>
  <c r="Z15" i="11"/>
  <c r="Z16" i="11"/>
  <c r="Z20" i="11"/>
  <c r="Z12" i="11"/>
  <c r="Z18" i="11"/>
  <c r="Z19" i="11"/>
  <c r="AB31" i="11"/>
  <c r="AA32" i="11"/>
  <c r="AA33" i="11" s="1"/>
  <c r="AA35" i="11" s="1"/>
  <c r="AA36" i="11"/>
  <c r="AA37" i="11"/>
  <c r="AA38" i="11"/>
  <c r="AA39" i="11"/>
  <c r="AA40" i="11"/>
  <c r="AA41" i="11"/>
  <c r="AA42" i="11"/>
  <c r="AA43" i="11"/>
  <c r="AA44" i="11"/>
  <c r="AA45" i="11"/>
  <c r="AA46" i="11"/>
  <c r="AA47" i="11"/>
  <c r="AA48" i="11"/>
  <c r="AA49" i="11"/>
  <c r="AA50" i="11"/>
  <c r="AA51" i="11"/>
  <c r="AA52" i="11"/>
  <c r="AA53" i="11"/>
  <c r="AA5" i="11"/>
  <c r="C52" i="11"/>
  <c r="M53" i="11"/>
  <c r="J53" i="11"/>
  <c r="W53" i="11"/>
  <c r="F53" i="11"/>
  <c r="I53" i="11"/>
  <c r="S53" i="11"/>
  <c r="L53" i="11"/>
  <c r="V53" i="11"/>
  <c r="O53" i="11"/>
  <c r="G53" i="11"/>
  <c r="U53" i="11"/>
  <c r="T53" i="11"/>
  <c r="N53" i="11"/>
  <c r="R53" i="11"/>
  <c r="P53" i="11"/>
  <c r="Q53" i="11"/>
  <c r="H53" i="11"/>
  <c r="K53" i="11"/>
  <c r="X53" i="11"/>
  <c r="Y53" i="11"/>
  <c r="Z53" i="11"/>
  <c r="Y22" i="11"/>
  <c r="Y23" i="11" s="1"/>
  <c r="B58" i="11"/>
  <c r="L121" i="5"/>
  <c r="L120" i="5"/>
  <c r="K121" i="5"/>
  <c r="K120" i="5"/>
  <c r="L118" i="5"/>
  <c r="L117" i="5"/>
  <c r="K118" i="5"/>
  <c r="K117" i="5"/>
  <c r="J117" i="5"/>
  <c r="AA8" i="11" l="1"/>
  <c r="AA12" i="11"/>
  <c r="AA7" i="11"/>
  <c r="AA11" i="11"/>
  <c r="AA15" i="11"/>
  <c r="AA6" i="11"/>
  <c r="AA10" i="11"/>
  <c r="AA14" i="11"/>
  <c r="AA18" i="11"/>
  <c r="AA9" i="11"/>
  <c r="AA17" i="11"/>
  <c r="AA21" i="11"/>
  <c r="AA13" i="11"/>
  <c r="AA16" i="11"/>
  <c r="AA19" i="11"/>
  <c r="AA20" i="11"/>
  <c r="AB32" i="11"/>
  <c r="AB33" i="11" s="1"/>
  <c r="AB35" i="11" s="1"/>
  <c r="AB36" i="11"/>
  <c r="AC31" i="11"/>
  <c r="AB37" i="11"/>
  <c r="AB38" i="11"/>
  <c r="AB39" i="11"/>
  <c r="AB40" i="11"/>
  <c r="AB41" i="11"/>
  <c r="AB42" i="11"/>
  <c r="AB43" i="11"/>
  <c r="AB44" i="11"/>
  <c r="AB45" i="11"/>
  <c r="AB46" i="11"/>
  <c r="AB47" i="11"/>
  <c r="AB48" i="11"/>
  <c r="AB49" i="11"/>
  <c r="AB50" i="11"/>
  <c r="AB51" i="11"/>
  <c r="AB52" i="11"/>
  <c r="AB53" i="11"/>
  <c r="AB54" i="11"/>
  <c r="AB5" i="11"/>
  <c r="U54" i="11"/>
  <c r="R54" i="11"/>
  <c r="K54" i="11"/>
  <c r="T54" i="11"/>
  <c r="S54" i="11"/>
  <c r="O54" i="11"/>
  <c r="Q54" i="11"/>
  <c r="L54" i="11"/>
  <c r="F54" i="11"/>
  <c r="J54" i="11"/>
  <c r="H54" i="11"/>
  <c r="N54" i="11"/>
  <c r="Y54" i="11"/>
  <c r="W54" i="11"/>
  <c r="X54" i="11"/>
  <c r="M54" i="11"/>
  <c r="G54" i="11"/>
  <c r="V54" i="11"/>
  <c r="I54" i="11"/>
  <c r="P54" i="11"/>
  <c r="Z54" i="11"/>
  <c r="C53" i="11"/>
  <c r="B59" i="11"/>
  <c r="Z22" i="11"/>
  <c r="Z23" i="11" s="1"/>
  <c r="AA54" i="11"/>
  <c r="L116" i="5"/>
  <c r="K116" i="5"/>
  <c r="J116" i="5"/>
  <c r="C98" i="7"/>
  <c r="J118" i="5"/>
  <c r="C123" i="5"/>
  <c r="J121" i="5"/>
  <c r="J120" i="5"/>
  <c r="A121" i="5"/>
  <c r="A120" i="5"/>
  <c r="F37" i="5"/>
  <c r="AB9" i="11" l="1"/>
  <c r="AB8" i="11"/>
  <c r="AB12" i="11"/>
  <c r="AB7" i="11"/>
  <c r="AB11" i="11"/>
  <c r="AB15" i="11"/>
  <c r="AB14" i="11"/>
  <c r="AB19" i="11"/>
  <c r="AB18" i="11"/>
  <c r="AB10" i="11"/>
  <c r="AB17" i="11"/>
  <c r="AB13" i="11"/>
  <c r="AB16" i="11"/>
  <c r="AB21" i="11"/>
  <c r="AB20" i="11"/>
  <c r="AB6" i="11"/>
  <c r="M55" i="11"/>
  <c r="J55" i="11"/>
  <c r="X55" i="11"/>
  <c r="V55" i="11"/>
  <c r="O55" i="11"/>
  <c r="R55" i="11"/>
  <c r="Y55" i="11"/>
  <c r="I55" i="11"/>
  <c r="S55" i="11"/>
  <c r="W55" i="11"/>
  <c r="K55" i="11"/>
  <c r="P55" i="11"/>
  <c r="F55" i="11"/>
  <c r="Q55" i="11"/>
  <c r="H55" i="11"/>
  <c r="G55" i="11"/>
  <c r="U55" i="11"/>
  <c r="T55" i="11"/>
  <c r="N55" i="11"/>
  <c r="L55" i="11"/>
  <c r="Z55" i="11"/>
  <c r="AA55" i="11"/>
  <c r="AC5" i="11"/>
  <c r="AD31" i="11"/>
  <c r="AC32" i="11"/>
  <c r="AC33" i="11" s="1"/>
  <c r="AC35" i="11" s="1"/>
  <c r="AC37" i="11"/>
  <c r="D37" i="11" s="1"/>
  <c r="AC36" i="11"/>
  <c r="D36" i="11" s="1"/>
  <c r="AC38" i="11"/>
  <c r="D38" i="11" s="1"/>
  <c r="AC39" i="11"/>
  <c r="D39" i="11" s="1"/>
  <c r="AC40" i="11"/>
  <c r="D40" i="11" s="1"/>
  <c r="AC41" i="11"/>
  <c r="D41" i="11" s="1"/>
  <c r="AC42" i="11"/>
  <c r="D42" i="11" s="1"/>
  <c r="AC43" i="11"/>
  <c r="D43" i="11" s="1"/>
  <c r="AC44" i="11"/>
  <c r="D44" i="11" s="1"/>
  <c r="AC45" i="11"/>
  <c r="D45" i="11" s="1"/>
  <c r="AC46" i="11"/>
  <c r="D46" i="11" s="1"/>
  <c r="AC47" i="11"/>
  <c r="D47" i="11" s="1"/>
  <c r="AC48" i="11"/>
  <c r="D48" i="11" s="1"/>
  <c r="AC49" i="11"/>
  <c r="D49" i="11" s="1"/>
  <c r="AC50" i="11"/>
  <c r="D50" i="11" s="1"/>
  <c r="AC51" i="11"/>
  <c r="D51" i="11" s="1"/>
  <c r="AC52" i="11"/>
  <c r="D52" i="11" s="1"/>
  <c r="AC53" i="11"/>
  <c r="D53" i="11" s="1"/>
  <c r="AC54" i="11"/>
  <c r="D54" i="11" s="1"/>
  <c r="AC55" i="11"/>
  <c r="B60" i="11"/>
  <c r="C54" i="11"/>
  <c r="AA22" i="11"/>
  <c r="AA23" i="11" s="1"/>
  <c r="AB55" i="11"/>
  <c r="B157" i="5"/>
  <c r="AC6" i="11" l="1"/>
  <c r="AC10" i="11"/>
  <c r="D10" i="11" s="1"/>
  <c r="AC9" i="11"/>
  <c r="D9" i="11" s="1"/>
  <c r="AC13" i="11"/>
  <c r="D13" i="11" s="1"/>
  <c r="AC8" i="11"/>
  <c r="D8" i="11" s="1"/>
  <c r="AC12" i="11"/>
  <c r="D12" i="11" s="1"/>
  <c r="AC7" i="11"/>
  <c r="D7" i="11" s="1"/>
  <c r="AC16" i="11"/>
  <c r="D16" i="11" s="1"/>
  <c r="AC20" i="11"/>
  <c r="D20" i="11" s="1"/>
  <c r="AC14" i="11"/>
  <c r="D14" i="11" s="1"/>
  <c r="AC19" i="11"/>
  <c r="D19" i="11" s="1"/>
  <c r="AC15" i="11"/>
  <c r="D15" i="11" s="1"/>
  <c r="AC18" i="11"/>
  <c r="D18" i="11" s="1"/>
  <c r="AC21" i="11"/>
  <c r="D21" i="11" s="1"/>
  <c r="AC17" i="11"/>
  <c r="D17" i="11" s="1"/>
  <c r="AC11" i="11"/>
  <c r="D11" i="11" s="1"/>
  <c r="AD5" i="11"/>
  <c r="D35" i="11"/>
  <c r="D55" i="11"/>
  <c r="U56" i="11"/>
  <c r="R56" i="11"/>
  <c r="K56" i="11"/>
  <c r="O56" i="11"/>
  <c r="I56" i="11"/>
  <c r="S56" i="11"/>
  <c r="Q56" i="11"/>
  <c r="L56" i="11"/>
  <c r="F56" i="11"/>
  <c r="T56" i="11"/>
  <c r="J56" i="11"/>
  <c r="H56" i="11"/>
  <c r="Y56" i="11"/>
  <c r="W56" i="11"/>
  <c r="Z56" i="11"/>
  <c r="M56" i="11"/>
  <c r="G56" i="11"/>
  <c r="V56" i="11"/>
  <c r="X56" i="11"/>
  <c r="P56" i="11"/>
  <c r="N56" i="11"/>
  <c r="AA56" i="11"/>
  <c r="AB56" i="11"/>
  <c r="AC56" i="11"/>
  <c r="C55" i="11"/>
  <c r="AE31" i="11"/>
  <c r="AD32" i="11"/>
  <c r="AD33" i="11" s="1"/>
  <c r="AD35" i="11" s="1"/>
  <c r="AD37" i="11"/>
  <c r="AD36" i="11"/>
  <c r="AD38" i="11"/>
  <c r="AD39" i="11"/>
  <c r="AD40" i="11"/>
  <c r="AD41" i="11"/>
  <c r="AD42" i="11"/>
  <c r="AD43" i="11"/>
  <c r="AD44" i="11"/>
  <c r="AD45" i="11"/>
  <c r="AD46" i="11"/>
  <c r="AD47" i="11"/>
  <c r="AD48" i="11"/>
  <c r="AD49" i="11"/>
  <c r="AD50" i="11"/>
  <c r="AD51" i="11"/>
  <c r="AD52" i="11"/>
  <c r="AD53" i="11"/>
  <c r="AD54" i="11"/>
  <c r="AD55" i="11"/>
  <c r="AD56" i="11"/>
  <c r="B61" i="11"/>
  <c r="AB22" i="11"/>
  <c r="AB23" i="11" s="1"/>
  <c r="H78" i="5"/>
  <c r="AD7" i="11" l="1"/>
  <c r="AD11" i="11"/>
  <c r="AD6" i="11"/>
  <c r="AD10" i="11"/>
  <c r="AD14" i="11"/>
  <c r="AD9" i="11"/>
  <c r="AD13" i="11"/>
  <c r="AD12" i="11"/>
  <c r="AD17" i="11"/>
  <c r="AD21" i="11"/>
  <c r="AD8" i="11"/>
  <c r="AD16" i="11"/>
  <c r="AD20" i="11"/>
  <c r="AD15" i="11"/>
  <c r="AD19" i="11"/>
  <c r="AD18" i="11"/>
  <c r="Q57" i="11"/>
  <c r="O57" i="11"/>
  <c r="X57" i="11"/>
  <c r="J57" i="11"/>
  <c r="H57" i="11"/>
  <c r="AA57" i="11"/>
  <c r="P57" i="11"/>
  <c r="M57" i="11"/>
  <c r="R57" i="11"/>
  <c r="L57" i="11"/>
  <c r="S57" i="11"/>
  <c r="K57" i="11"/>
  <c r="U57" i="11"/>
  <c r="N57" i="11"/>
  <c r="AB57" i="11"/>
  <c r="Y57" i="11"/>
  <c r="I57" i="11"/>
  <c r="Z57" i="11"/>
  <c r="W57" i="11"/>
  <c r="V57" i="11"/>
  <c r="F57" i="11"/>
  <c r="T57" i="11"/>
  <c r="G57" i="11"/>
  <c r="AC57" i="11"/>
  <c r="C56" i="11"/>
  <c r="AE5" i="11"/>
  <c r="B62" i="11"/>
  <c r="AF31" i="11"/>
  <c r="AE32" i="11"/>
  <c r="AE33" i="11" s="1"/>
  <c r="AE35" i="11" s="1"/>
  <c r="AE36" i="11"/>
  <c r="AE37" i="11"/>
  <c r="AE38" i="11"/>
  <c r="AE39" i="11"/>
  <c r="AE40" i="11"/>
  <c r="AE41" i="11"/>
  <c r="AE42" i="11"/>
  <c r="AE43" i="11"/>
  <c r="AE44" i="11"/>
  <c r="AE45" i="11"/>
  <c r="AE46" i="11"/>
  <c r="AE47" i="11"/>
  <c r="AE48" i="11"/>
  <c r="AE49" i="11"/>
  <c r="AE50" i="11"/>
  <c r="AE51" i="11"/>
  <c r="AE52" i="11"/>
  <c r="AE53" i="11"/>
  <c r="AE54" i="11"/>
  <c r="AE55" i="11"/>
  <c r="AE56" i="11"/>
  <c r="AE57" i="11"/>
  <c r="AD57" i="11"/>
  <c r="D56" i="11"/>
  <c r="AC22" i="11"/>
  <c r="AC23" i="11" s="1"/>
  <c r="D6" i="11"/>
  <c r="D22" i="11" s="1"/>
  <c r="I78" i="5"/>
  <c r="K42" i="5"/>
  <c r="K51" i="5" l="1"/>
  <c r="K53" i="5"/>
  <c r="AE8" i="11"/>
  <c r="AE12" i="11"/>
  <c r="AE7" i="11"/>
  <c r="AE11" i="11"/>
  <c r="AE15" i="11"/>
  <c r="AE6" i="11"/>
  <c r="AE10" i="11"/>
  <c r="AE14" i="11"/>
  <c r="AE13" i="11"/>
  <c r="AE18" i="11"/>
  <c r="AE17" i="11"/>
  <c r="AE21" i="11"/>
  <c r="AE9" i="11"/>
  <c r="AE16" i="11"/>
  <c r="AE19" i="11"/>
  <c r="AE20" i="11"/>
  <c r="AF5" i="11"/>
  <c r="U58" i="11"/>
  <c r="R58" i="11"/>
  <c r="K58" i="11"/>
  <c r="O58" i="11"/>
  <c r="Y58" i="11"/>
  <c r="Z58" i="11"/>
  <c r="Q58" i="11"/>
  <c r="L58" i="11"/>
  <c r="AA58" i="11"/>
  <c r="F58" i="11"/>
  <c r="T58" i="11"/>
  <c r="J58" i="11"/>
  <c r="I58" i="11"/>
  <c r="N58" i="11"/>
  <c r="H58" i="11"/>
  <c r="AC58" i="11"/>
  <c r="M58" i="11"/>
  <c r="AB58" i="11"/>
  <c r="G58" i="11"/>
  <c r="V58" i="11"/>
  <c r="X58" i="11"/>
  <c r="W58" i="11"/>
  <c r="P58" i="11"/>
  <c r="S58" i="11"/>
  <c r="AD58" i="11"/>
  <c r="AD22" i="11"/>
  <c r="AD23" i="11" s="1"/>
  <c r="AF59" i="11" s="1"/>
  <c r="C57" i="11"/>
  <c r="D57" i="11"/>
  <c r="AE58" i="11"/>
  <c r="B63" i="11"/>
  <c r="AF32" i="11"/>
  <c r="AF33" i="11" s="1"/>
  <c r="AF35" i="11" s="1"/>
  <c r="AF36" i="11"/>
  <c r="AG31" i="11"/>
  <c r="AF37" i="11"/>
  <c r="AF38" i="11"/>
  <c r="AF39" i="11"/>
  <c r="AF40" i="11"/>
  <c r="AF41" i="11"/>
  <c r="AF42" i="11"/>
  <c r="AF43" i="11"/>
  <c r="AF44" i="11"/>
  <c r="AF45" i="11"/>
  <c r="AF46" i="11"/>
  <c r="AF47" i="11"/>
  <c r="AF48" i="11"/>
  <c r="AF49" i="11"/>
  <c r="AF50" i="11"/>
  <c r="AF51" i="11"/>
  <c r="AF52" i="11"/>
  <c r="AF53" i="11"/>
  <c r="AF54" i="11"/>
  <c r="AF55" i="11"/>
  <c r="AF56" i="11"/>
  <c r="AF57" i="11"/>
  <c r="AF58" i="11"/>
  <c r="H81" i="5"/>
  <c r="H82" i="5"/>
  <c r="L53" i="5" l="1"/>
  <c r="M53" i="5" s="1"/>
  <c r="L51" i="5"/>
  <c r="M51" i="5" s="1"/>
  <c r="AF9" i="11"/>
  <c r="AF8" i="11"/>
  <c r="AF12" i="11"/>
  <c r="AF7" i="11"/>
  <c r="AF11" i="11"/>
  <c r="AF6" i="11"/>
  <c r="AF15" i="11"/>
  <c r="AF19" i="11"/>
  <c r="AF13" i="11"/>
  <c r="AF18" i="11"/>
  <c r="AF14" i="11"/>
  <c r="AF17" i="11"/>
  <c r="AF10" i="11"/>
  <c r="AF20" i="11"/>
  <c r="AF21" i="11"/>
  <c r="AF16" i="11"/>
  <c r="C58" i="11"/>
  <c r="D58" i="11"/>
  <c r="AG5" i="11"/>
  <c r="AE22" i="11"/>
  <c r="AE23" i="11" s="1"/>
  <c r="AG60" i="11" s="1"/>
  <c r="B64" i="11"/>
  <c r="AG32" i="11"/>
  <c r="AG33" i="11" s="1"/>
  <c r="AG35" i="11" s="1"/>
  <c r="AH31" i="11"/>
  <c r="AG37" i="11"/>
  <c r="AG36" i="11"/>
  <c r="AG38" i="11"/>
  <c r="AG39" i="11"/>
  <c r="AG40" i="11"/>
  <c r="AG41" i="11"/>
  <c r="AG42" i="11"/>
  <c r="AG43" i="11"/>
  <c r="AG44" i="11"/>
  <c r="AG45" i="11"/>
  <c r="AG46" i="11"/>
  <c r="AG47" i="11"/>
  <c r="AG48" i="11"/>
  <c r="AG49" i="11"/>
  <c r="AG50" i="11"/>
  <c r="AG51" i="11"/>
  <c r="AG52" i="11"/>
  <c r="AG53" i="11"/>
  <c r="AG54" i="11"/>
  <c r="AG55" i="11"/>
  <c r="AG56" i="11"/>
  <c r="AG57" i="11"/>
  <c r="AG58" i="11"/>
  <c r="AG59" i="11"/>
  <c r="U59" i="11"/>
  <c r="T59" i="11"/>
  <c r="N59" i="11"/>
  <c r="R59" i="11"/>
  <c r="P59" i="11"/>
  <c r="AC59" i="11"/>
  <c r="J59" i="11"/>
  <c r="W59" i="11"/>
  <c r="I59" i="11"/>
  <c r="S59" i="11"/>
  <c r="V59" i="11"/>
  <c r="Q59" i="11"/>
  <c r="O59" i="11"/>
  <c r="H59" i="11"/>
  <c r="G59" i="11"/>
  <c r="F59" i="11"/>
  <c r="M59" i="11"/>
  <c r="X59" i="11"/>
  <c r="Z59" i="11"/>
  <c r="AA59" i="11"/>
  <c r="L59" i="11"/>
  <c r="Y59" i="11"/>
  <c r="AB59" i="11"/>
  <c r="K59" i="11"/>
  <c r="AD59" i="11"/>
  <c r="AE59" i="11"/>
  <c r="D158" i="5"/>
  <c r="D159" i="5"/>
  <c r="D160" i="5"/>
  <c r="D161" i="5"/>
  <c r="D162" i="5"/>
  <c r="D163" i="5"/>
  <c r="D164" i="5"/>
  <c r="D165" i="5"/>
  <c r="D166" i="5"/>
  <c r="D157" i="5"/>
  <c r="B158" i="5"/>
  <c r="C158" i="5"/>
  <c r="B159" i="5"/>
  <c r="C159" i="5"/>
  <c r="B160" i="5"/>
  <c r="C160" i="5"/>
  <c r="B161" i="5"/>
  <c r="C161" i="5"/>
  <c r="B162" i="5"/>
  <c r="C162" i="5"/>
  <c r="B163" i="5"/>
  <c r="C163" i="5"/>
  <c r="B164" i="5"/>
  <c r="C164" i="5"/>
  <c r="B165" i="5"/>
  <c r="C165" i="5"/>
  <c r="B166" i="5"/>
  <c r="C166" i="5"/>
  <c r="C157" i="5"/>
  <c r="A158" i="5"/>
  <c r="A159" i="5"/>
  <c r="A160" i="5"/>
  <c r="A161" i="5"/>
  <c r="A162" i="5"/>
  <c r="A163" i="5"/>
  <c r="A164" i="5"/>
  <c r="A165" i="5"/>
  <c r="A166" i="5"/>
  <c r="A157" i="5"/>
  <c r="F131" i="7"/>
  <c r="AG6" i="11" l="1"/>
  <c r="AG10" i="11"/>
  <c r="AG9" i="11"/>
  <c r="AG13" i="11"/>
  <c r="AG8" i="11"/>
  <c r="AG12" i="11"/>
  <c r="AG11" i="11"/>
  <c r="AG16" i="11"/>
  <c r="AG20" i="11"/>
  <c r="AG7" i="11"/>
  <c r="AG15" i="11"/>
  <c r="AG19" i="11"/>
  <c r="AG18" i="11"/>
  <c r="AG14" i="11"/>
  <c r="AG17" i="11"/>
  <c r="AG21" i="11"/>
  <c r="C59" i="11"/>
  <c r="AF22" i="11"/>
  <c r="AF23" i="11" s="1"/>
  <c r="AH61" i="11" s="1"/>
  <c r="D59" i="11"/>
  <c r="B65" i="11"/>
  <c r="Q60" i="11"/>
  <c r="L60" i="11"/>
  <c r="AA60" i="11"/>
  <c r="F60" i="11"/>
  <c r="J60" i="11"/>
  <c r="H60" i="11"/>
  <c r="R60" i="11"/>
  <c r="S60" i="11"/>
  <c r="AC60" i="11"/>
  <c r="M60" i="11"/>
  <c r="AB60" i="11"/>
  <c r="G60" i="11"/>
  <c r="V60" i="11"/>
  <c r="Z60" i="11"/>
  <c r="O60" i="11"/>
  <c r="U60" i="11"/>
  <c r="T60" i="11"/>
  <c r="Y60" i="11"/>
  <c r="I60" i="11"/>
  <c r="W60" i="11"/>
  <c r="P60" i="11"/>
  <c r="AE60" i="11"/>
  <c r="AD60" i="11"/>
  <c r="X60" i="11"/>
  <c r="N60" i="11"/>
  <c r="K60" i="11"/>
  <c r="AF60" i="11"/>
  <c r="AH5" i="11"/>
  <c r="AI31" i="11"/>
  <c r="AH32" i="11"/>
  <c r="AH33" i="11" s="1"/>
  <c r="AH35" i="11" s="1"/>
  <c r="AH36" i="11"/>
  <c r="AH37" i="11"/>
  <c r="AH38" i="11"/>
  <c r="AH39" i="11"/>
  <c r="AH40" i="11"/>
  <c r="AH41" i="11"/>
  <c r="AH42" i="11"/>
  <c r="AH43" i="11"/>
  <c r="AH44" i="11"/>
  <c r="AH45" i="11"/>
  <c r="AH46" i="11"/>
  <c r="AH47" i="11"/>
  <c r="AH48" i="11"/>
  <c r="AH49" i="11"/>
  <c r="AH50" i="11"/>
  <c r="AH51" i="11"/>
  <c r="AH52" i="11"/>
  <c r="AH53" i="11"/>
  <c r="AH54" i="11"/>
  <c r="AH55" i="11"/>
  <c r="AH56" i="11"/>
  <c r="AH57" i="11"/>
  <c r="AH58" i="11"/>
  <c r="AH59" i="11"/>
  <c r="AH60" i="11"/>
  <c r="E165" i="5"/>
  <c r="E159" i="5"/>
  <c r="E166" i="5"/>
  <c r="E158" i="5"/>
  <c r="E157" i="5"/>
  <c r="E164" i="5"/>
  <c r="E163" i="5"/>
  <c r="E162" i="5"/>
  <c r="E161" i="5"/>
  <c r="E160" i="5"/>
  <c r="D167" i="5"/>
  <c r="AG22" i="11" l="1"/>
  <c r="AG23" i="11" s="1"/>
  <c r="AH62" i="11" s="1"/>
  <c r="AH7" i="11"/>
  <c r="AH11" i="11"/>
  <c r="AH6" i="11"/>
  <c r="AH10" i="11"/>
  <c r="AH14" i="11"/>
  <c r="AH9" i="11"/>
  <c r="AH13" i="11"/>
  <c r="AH17" i="11"/>
  <c r="AH21" i="11"/>
  <c r="AH12" i="11"/>
  <c r="AH16" i="11"/>
  <c r="AH20" i="11"/>
  <c r="AH8" i="11"/>
  <c r="AH15" i="11"/>
  <c r="AH18" i="11"/>
  <c r="AH19" i="11"/>
  <c r="AI5" i="11"/>
  <c r="AJ31" i="11"/>
  <c r="AI36" i="11"/>
  <c r="AI32" i="11"/>
  <c r="AI33" i="11" s="1"/>
  <c r="AI35" i="11" s="1"/>
  <c r="AI37" i="11"/>
  <c r="AI38" i="11"/>
  <c r="AI39" i="11"/>
  <c r="AI40" i="11"/>
  <c r="AI41" i="11"/>
  <c r="AI42" i="11"/>
  <c r="AI43" i="11"/>
  <c r="AI44" i="11"/>
  <c r="AI45" i="11"/>
  <c r="AI46" i="11"/>
  <c r="AI47" i="11"/>
  <c r="AI48" i="11"/>
  <c r="AI49" i="11"/>
  <c r="AI50" i="11"/>
  <c r="AI51" i="11"/>
  <c r="AI52" i="11"/>
  <c r="AI53" i="11"/>
  <c r="AI54" i="11"/>
  <c r="AI55" i="11"/>
  <c r="AI56" i="11"/>
  <c r="AI57" i="11"/>
  <c r="AI58" i="11"/>
  <c r="AI59" i="11"/>
  <c r="AI60" i="11"/>
  <c r="AI61" i="11"/>
  <c r="C60" i="11"/>
  <c r="F62" i="11"/>
  <c r="J62" i="11"/>
  <c r="D60" i="11"/>
  <c r="B66" i="11"/>
  <c r="Q61" i="11"/>
  <c r="O61" i="11"/>
  <c r="AD61" i="11"/>
  <c r="H61" i="11"/>
  <c r="G61" i="11"/>
  <c r="N61" i="11"/>
  <c r="AC61" i="11"/>
  <c r="M61" i="11"/>
  <c r="AE61" i="11"/>
  <c r="J61" i="11"/>
  <c r="X61" i="11"/>
  <c r="V61" i="11"/>
  <c r="AA61" i="11"/>
  <c r="R61" i="11"/>
  <c r="T61" i="11"/>
  <c r="AB61" i="11"/>
  <c r="Y61" i="11"/>
  <c r="I61" i="11"/>
  <c r="Z61" i="11"/>
  <c r="S61" i="11"/>
  <c r="W61" i="11"/>
  <c r="K61" i="11"/>
  <c r="F61" i="11"/>
  <c r="P61" i="11"/>
  <c r="U61" i="11"/>
  <c r="L61" i="11"/>
  <c r="AF61" i="11"/>
  <c r="AG61" i="11"/>
  <c r="C148" i="5"/>
  <c r="H130" i="5"/>
  <c r="I130" i="5"/>
  <c r="H131" i="5"/>
  <c r="I131" i="5"/>
  <c r="H132" i="5"/>
  <c r="I132" i="5"/>
  <c r="H133" i="5"/>
  <c r="I133" i="5"/>
  <c r="G131" i="5"/>
  <c r="G132" i="5"/>
  <c r="G133" i="5"/>
  <c r="G130" i="5"/>
  <c r="M121" i="5"/>
  <c r="M120" i="5"/>
  <c r="G115" i="5"/>
  <c r="J115" i="5" s="1"/>
  <c r="C110" i="5"/>
  <c r="F103" i="5"/>
  <c r="F111" i="5" s="1"/>
  <c r="A104" i="5"/>
  <c r="A105" i="5"/>
  <c r="A106" i="5"/>
  <c r="A107" i="5"/>
  <c r="A108" i="5"/>
  <c r="A103" i="5"/>
  <c r="G92" i="5"/>
  <c r="J92" i="5" s="1"/>
  <c r="H92" i="5"/>
  <c r="K92" i="5" s="1"/>
  <c r="I92" i="5"/>
  <c r="L92" i="5" s="1"/>
  <c r="G93" i="5"/>
  <c r="J93" i="5" s="1"/>
  <c r="H93" i="5"/>
  <c r="K93" i="5" s="1"/>
  <c r="I93" i="5"/>
  <c r="L93" i="5" s="1"/>
  <c r="G94" i="5"/>
  <c r="J94" i="5" s="1"/>
  <c r="H94" i="5"/>
  <c r="K94" i="5" s="1"/>
  <c r="I94" i="5"/>
  <c r="L94" i="5" s="1"/>
  <c r="G95" i="5"/>
  <c r="J95" i="5" s="1"/>
  <c r="H95" i="5"/>
  <c r="K95" i="5" s="1"/>
  <c r="I95" i="5"/>
  <c r="L95" i="5" s="1"/>
  <c r="H91" i="5"/>
  <c r="K91" i="5" s="1"/>
  <c r="I91" i="5"/>
  <c r="L91" i="5" s="1"/>
  <c r="G91" i="5"/>
  <c r="J91" i="5" s="1"/>
  <c r="G81" i="5"/>
  <c r="J81" i="5" s="1"/>
  <c r="K81" i="5"/>
  <c r="I81" i="5"/>
  <c r="L81" i="5" s="1"/>
  <c r="G82" i="5"/>
  <c r="J82" i="5" s="1"/>
  <c r="K82" i="5"/>
  <c r="I82" i="5"/>
  <c r="L82" i="5" s="1"/>
  <c r="I79" i="5"/>
  <c r="H79" i="5"/>
  <c r="G74" i="5"/>
  <c r="G73" i="5"/>
  <c r="C61" i="5"/>
  <c r="C39" i="5"/>
  <c r="H56" i="5"/>
  <c r="G44" i="5"/>
  <c r="G45" i="5"/>
  <c r="G46" i="5"/>
  <c r="G47" i="5"/>
  <c r="G48" i="5"/>
  <c r="G49" i="5"/>
  <c r="J49" i="5" s="1"/>
  <c r="G50" i="5"/>
  <c r="G52" i="5"/>
  <c r="G55" i="5"/>
  <c r="G56" i="5"/>
  <c r="G43" i="5"/>
  <c r="J43" i="5" s="1"/>
  <c r="K43" i="5" s="1"/>
  <c r="L43" i="5" s="1"/>
  <c r="F18" i="5"/>
  <c r="F20" i="5"/>
  <c r="F21" i="5"/>
  <c r="F22" i="5"/>
  <c r="F23" i="5"/>
  <c r="F24" i="5"/>
  <c r="F25" i="5"/>
  <c r="F26" i="5"/>
  <c r="F27" i="5"/>
  <c r="F28" i="5"/>
  <c r="F29" i="5"/>
  <c r="F30" i="5"/>
  <c r="F31" i="5"/>
  <c r="F32" i="5"/>
  <c r="F33" i="5"/>
  <c r="F34" i="5"/>
  <c r="F35" i="5"/>
  <c r="F36" i="5"/>
  <c r="F17" i="5"/>
  <c r="C18" i="5"/>
  <c r="C19" i="5"/>
  <c r="C20" i="5"/>
  <c r="C21" i="5"/>
  <c r="C22" i="5"/>
  <c r="C23" i="5"/>
  <c r="C24" i="5"/>
  <c r="C25" i="5"/>
  <c r="C26" i="5"/>
  <c r="C27" i="5"/>
  <c r="C28" i="5"/>
  <c r="C29" i="5"/>
  <c r="C30" i="5"/>
  <c r="C31" i="5"/>
  <c r="C32" i="5"/>
  <c r="C33" i="5"/>
  <c r="C34" i="5"/>
  <c r="C35" i="5"/>
  <c r="C36" i="5"/>
  <c r="C37" i="5"/>
  <c r="C17" i="5"/>
  <c r="B18" i="5"/>
  <c r="B19" i="5"/>
  <c r="B20" i="5"/>
  <c r="B21" i="5"/>
  <c r="B22" i="5"/>
  <c r="B23" i="5"/>
  <c r="B24" i="5"/>
  <c r="B25" i="5"/>
  <c r="B26" i="5"/>
  <c r="B27" i="5"/>
  <c r="B28" i="5"/>
  <c r="B29" i="5"/>
  <c r="B30" i="5"/>
  <c r="B31" i="5"/>
  <c r="B32" i="5"/>
  <c r="B33" i="5"/>
  <c r="B34" i="5"/>
  <c r="B35" i="5"/>
  <c r="B36" i="5"/>
  <c r="B37" i="5"/>
  <c r="B17" i="5"/>
  <c r="L16" i="5"/>
  <c r="K16" i="5"/>
  <c r="G142" i="5"/>
  <c r="G141" i="5"/>
  <c r="M119" i="5"/>
  <c r="M118" i="5"/>
  <c r="M117" i="5"/>
  <c r="M116" i="5"/>
  <c r="H62" i="11" l="1"/>
  <c r="Q62" i="11"/>
  <c r="W62" i="11"/>
  <c r="P62" i="11"/>
  <c r="AE62" i="11"/>
  <c r="X62" i="11"/>
  <c r="AC62" i="11"/>
  <c r="K145" i="5"/>
  <c r="L145" i="5"/>
  <c r="K146" i="5"/>
  <c r="L146" i="5"/>
  <c r="AF62" i="11"/>
  <c r="AG62" i="11"/>
  <c r="V62" i="11"/>
  <c r="S62" i="11"/>
  <c r="M62" i="11"/>
  <c r="K49" i="5"/>
  <c r="L49" i="5" s="1"/>
  <c r="M49" i="5" s="1"/>
  <c r="O62" i="11"/>
  <c r="N62" i="11"/>
  <c r="I62" i="11"/>
  <c r="T62" i="11"/>
  <c r="G62" i="11"/>
  <c r="K62" i="11"/>
  <c r="AA62" i="11"/>
  <c r="AI62" i="11"/>
  <c r="R62" i="11"/>
  <c r="Z62" i="11"/>
  <c r="Y62" i="11"/>
  <c r="AD62" i="11"/>
  <c r="AB62" i="11"/>
  <c r="U62" i="11"/>
  <c r="L62" i="11"/>
  <c r="AH22" i="11"/>
  <c r="AH23" i="11" s="1"/>
  <c r="S63" i="11" s="1"/>
  <c r="AI8" i="11"/>
  <c r="AI12" i="11"/>
  <c r="AI7" i="11"/>
  <c r="AI11" i="11"/>
  <c r="AI6" i="11"/>
  <c r="AI10" i="11"/>
  <c r="AI14" i="11"/>
  <c r="AI18" i="11"/>
  <c r="AI17" i="11"/>
  <c r="AI21" i="11"/>
  <c r="AI13" i="11"/>
  <c r="AI16" i="11"/>
  <c r="AI19" i="11"/>
  <c r="AI20" i="11"/>
  <c r="AI9" i="11"/>
  <c r="AI15" i="11"/>
  <c r="G17" i="5"/>
  <c r="H17" i="5"/>
  <c r="K6" i="5" s="1"/>
  <c r="E6" i="10" s="1"/>
  <c r="H37" i="5"/>
  <c r="G37" i="5"/>
  <c r="G21" i="5"/>
  <c r="H21" i="5"/>
  <c r="H36" i="5"/>
  <c r="G36" i="5"/>
  <c r="G32" i="5"/>
  <c r="H32" i="5"/>
  <c r="G24" i="5"/>
  <c r="H24" i="5"/>
  <c r="H20" i="5"/>
  <c r="G20" i="5"/>
  <c r="F40" i="5"/>
  <c r="G33" i="5"/>
  <c r="H33" i="5"/>
  <c r="G25" i="5"/>
  <c r="H25" i="5"/>
  <c r="G35" i="5"/>
  <c r="H35" i="5"/>
  <c r="H27" i="5"/>
  <c r="G27" i="5"/>
  <c r="H23" i="5"/>
  <c r="G23" i="5"/>
  <c r="H19" i="5"/>
  <c r="G19" i="5"/>
  <c r="G34" i="5"/>
  <c r="H34" i="5"/>
  <c r="G26" i="5"/>
  <c r="H26" i="5"/>
  <c r="H22" i="5"/>
  <c r="G22" i="5"/>
  <c r="H18" i="5"/>
  <c r="G18" i="5"/>
  <c r="C61" i="11"/>
  <c r="D61" i="11"/>
  <c r="AJ5" i="11"/>
  <c r="B67" i="11"/>
  <c r="AJ32" i="11"/>
  <c r="AJ33" i="11" s="1"/>
  <c r="AJ35" i="11" s="1"/>
  <c r="AJ36" i="11"/>
  <c r="AK31" i="11"/>
  <c r="AJ37" i="11"/>
  <c r="AJ38" i="11"/>
  <c r="AJ39" i="11"/>
  <c r="AJ40" i="11"/>
  <c r="AJ41" i="11"/>
  <c r="AJ42" i="11"/>
  <c r="AJ43" i="11"/>
  <c r="AJ44" i="11"/>
  <c r="AJ45" i="11"/>
  <c r="AJ46" i="11"/>
  <c r="AJ47" i="11"/>
  <c r="AJ48" i="11"/>
  <c r="AJ49" i="11"/>
  <c r="AJ50" i="11"/>
  <c r="AJ51" i="11"/>
  <c r="AJ52" i="11"/>
  <c r="AJ53" i="11"/>
  <c r="AJ54" i="11"/>
  <c r="AJ55" i="11"/>
  <c r="AJ56" i="11"/>
  <c r="AJ57" i="11"/>
  <c r="AJ58" i="11"/>
  <c r="AJ59" i="11"/>
  <c r="AJ60" i="11"/>
  <c r="AJ61" i="11"/>
  <c r="AJ62" i="11"/>
  <c r="G31" i="5"/>
  <c r="H31" i="5"/>
  <c r="H30" i="5"/>
  <c r="G30" i="5"/>
  <c r="H29" i="5"/>
  <c r="G29" i="5"/>
  <c r="H28" i="5"/>
  <c r="J67" i="5"/>
  <c r="G28" i="5"/>
  <c r="K139" i="5"/>
  <c r="H103" i="5"/>
  <c r="H111" i="5" s="1"/>
  <c r="G103" i="5"/>
  <c r="G111" i="5" s="1"/>
  <c r="I103" i="5"/>
  <c r="I111" i="5" s="1"/>
  <c r="J139" i="5"/>
  <c r="L139" i="5"/>
  <c r="D31" i="5"/>
  <c r="E31" i="5" s="1"/>
  <c r="D23" i="5"/>
  <c r="E23" i="5" s="1"/>
  <c r="D17" i="5"/>
  <c r="E17" i="5" s="1"/>
  <c r="D34" i="5"/>
  <c r="E34" i="5" s="1"/>
  <c r="D30" i="5"/>
  <c r="E30" i="5" s="1"/>
  <c r="D26" i="5"/>
  <c r="E26" i="5" s="1"/>
  <c r="D22" i="5"/>
  <c r="E22" i="5" s="1"/>
  <c r="D18" i="5"/>
  <c r="E18" i="5" s="1"/>
  <c r="D19" i="5"/>
  <c r="E19" i="5" s="1"/>
  <c r="D21" i="5"/>
  <c r="E21" i="5" s="1"/>
  <c r="D35" i="5"/>
  <c r="E35" i="5" s="1"/>
  <c r="D27" i="5"/>
  <c r="E27" i="5" s="1"/>
  <c r="D37" i="5"/>
  <c r="E37" i="5" s="1"/>
  <c r="D33" i="5"/>
  <c r="E33" i="5" s="1"/>
  <c r="D29" i="5"/>
  <c r="E29" i="5" s="1"/>
  <c r="D25" i="5"/>
  <c r="E25" i="5" s="1"/>
  <c r="D36" i="5"/>
  <c r="E36" i="5" s="1"/>
  <c r="D32" i="5"/>
  <c r="E32" i="5" s="1"/>
  <c r="D28" i="5"/>
  <c r="E28" i="5" s="1"/>
  <c r="D24" i="5"/>
  <c r="E24" i="5" s="1"/>
  <c r="D20" i="5"/>
  <c r="E20" i="5" s="1"/>
  <c r="H115" i="5"/>
  <c r="K143" i="5"/>
  <c r="J143" i="5"/>
  <c r="L143" i="5"/>
  <c r="L96" i="5"/>
  <c r="F39" i="10" s="1"/>
  <c r="J142" i="5"/>
  <c r="P156" i="5"/>
  <c r="M94" i="5"/>
  <c r="K96" i="5"/>
  <c r="E39" i="10" s="1"/>
  <c r="M93" i="5"/>
  <c r="M82" i="5"/>
  <c r="D103" i="5"/>
  <c r="E103" i="5" s="1"/>
  <c r="G16" i="5"/>
  <c r="G42" i="5" s="1"/>
  <c r="G65" i="5" s="1"/>
  <c r="G70" i="5" s="1"/>
  <c r="K141" i="5"/>
  <c r="M92" i="5"/>
  <c r="M81" i="5"/>
  <c r="J96" i="5"/>
  <c r="D39" i="10" s="1"/>
  <c r="M91" i="5"/>
  <c r="M95" i="5"/>
  <c r="M145" i="5" l="1"/>
  <c r="K36" i="5"/>
  <c r="AA63" i="11"/>
  <c r="D62" i="11"/>
  <c r="C62" i="11"/>
  <c r="AJ63" i="11"/>
  <c r="G63" i="11"/>
  <c r="Q63" i="11"/>
  <c r="X63" i="11"/>
  <c r="J26" i="5"/>
  <c r="K23" i="5"/>
  <c r="AC63" i="11"/>
  <c r="I63" i="11"/>
  <c r="N63" i="11"/>
  <c r="H63" i="11"/>
  <c r="AF63" i="11"/>
  <c r="T63" i="11"/>
  <c r="M63" i="11"/>
  <c r="Y63" i="11"/>
  <c r="F63" i="11"/>
  <c r="O63" i="11"/>
  <c r="J63" i="11"/>
  <c r="R63" i="11"/>
  <c r="W63" i="11"/>
  <c r="L63" i="11"/>
  <c r="Z63" i="11"/>
  <c r="AE63" i="11"/>
  <c r="AG63" i="11"/>
  <c r="AB63" i="11"/>
  <c r="AI63" i="11"/>
  <c r="K63" i="11"/>
  <c r="AD63" i="11"/>
  <c r="AH63" i="11"/>
  <c r="P63" i="11"/>
  <c r="U63" i="11"/>
  <c r="V63" i="11"/>
  <c r="K7" i="5"/>
  <c r="J7" i="5"/>
  <c r="K32" i="5"/>
  <c r="J27" i="5"/>
  <c r="K20" i="5"/>
  <c r="J33" i="5"/>
  <c r="J31" i="5"/>
  <c r="J19" i="5"/>
  <c r="J21" i="5"/>
  <c r="K24" i="5"/>
  <c r="K35" i="5"/>
  <c r="J10" i="5"/>
  <c r="G57" i="5" s="1"/>
  <c r="K19" i="5"/>
  <c r="K26" i="5"/>
  <c r="AJ9" i="11"/>
  <c r="AJ8" i="11"/>
  <c r="AJ12" i="11"/>
  <c r="AJ7" i="11"/>
  <c r="AJ11" i="11"/>
  <c r="AJ10" i="11"/>
  <c r="AJ14" i="11"/>
  <c r="AJ15" i="11"/>
  <c r="AJ19" i="11"/>
  <c r="AJ6" i="11"/>
  <c r="AJ18" i="11"/>
  <c r="AJ17" i="11"/>
  <c r="AJ13" i="11"/>
  <c r="AJ20" i="11"/>
  <c r="AJ16" i="11"/>
  <c r="AJ21" i="11"/>
  <c r="K10" i="5"/>
  <c r="H40" i="5"/>
  <c r="K30" i="5"/>
  <c r="J6" i="5"/>
  <c r="D6" i="10" s="1"/>
  <c r="G40" i="5"/>
  <c r="AK32" i="11"/>
  <c r="AK33" i="11" s="1"/>
  <c r="AK35" i="11" s="1"/>
  <c r="AL31" i="11"/>
  <c r="AK37" i="11"/>
  <c r="AK36" i="11"/>
  <c r="AK38" i="11"/>
  <c r="AK39" i="11"/>
  <c r="AK40" i="11"/>
  <c r="AK41" i="11"/>
  <c r="AK42" i="11"/>
  <c r="AK43" i="11"/>
  <c r="AK44" i="11"/>
  <c r="AK45" i="11"/>
  <c r="AK46" i="11"/>
  <c r="AK47" i="11"/>
  <c r="AK48" i="11"/>
  <c r="AK49" i="11"/>
  <c r="AK50" i="11"/>
  <c r="AK51" i="11"/>
  <c r="AK52" i="11"/>
  <c r="AK53" i="11"/>
  <c r="AK54" i="11"/>
  <c r="AK55" i="11"/>
  <c r="AK56" i="11"/>
  <c r="AK57" i="11"/>
  <c r="AK58" i="11"/>
  <c r="AK59" i="11"/>
  <c r="AK60" i="11"/>
  <c r="AK61" i="11"/>
  <c r="AK62" i="11"/>
  <c r="AK63" i="11"/>
  <c r="AK5" i="11"/>
  <c r="B68" i="11"/>
  <c r="AI22" i="11"/>
  <c r="AI23" i="11" s="1"/>
  <c r="AK64" i="11" s="1"/>
  <c r="J35" i="5"/>
  <c r="J32" i="5"/>
  <c r="J23" i="5"/>
  <c r="J36" i="5"/>
  <c r="K29" i="5"/>
  <c r="K22" i="5"/>
  <c r="J22" i="5"/>
  <c r="J24" i="5"/>
  <c r="K34" i="5"/>
  <c r="J20" i="5"/>
  <c r="K18" i="5"/>
  <c r="K17" i="5"/>
  <c r="J17" i="5"/>
  <c r="K25" i="5"/>
  <c r="J37" i="5"/>
  <c r="K31" i="5"/>
  <c r="K27" i="5"/>
  <c r="J34" i="5"/>
  <c r="J18" i="5"/>
  <c r="K21" i="5"/>
  <c r="J25" i="5"/>
  <c r="K33" i="5"/>
  <c r="K37" i="5"/>
  <c r="J30" i="5"/>
  <c r="K11" i="5"/>
  <c r="K9" i="5"/>
  <c r="E8" i="10" s="1"/>
  <c r="J11" i="5"/>
  <c r="J9" i="5"/>
  <c r="D8" i="10" s="1"/>
  <c r="J29" i="5"/>
  <c r="K8" i="5"/>
  <c r="K28" i="5"/>
  <c r="J8" i="5"/>
  <c r="J28" i="5"/>
  <c r="J13" i="5"/>
  <c r="D10" i="10" s="1"/>
  <c r="G101" i="5"/>
  <c r="K103" i="5"/>
  <c r="L103" i="5"/>
  <c r="J103" i="5"/>
  <c r="I115" i="5"/>
  <c r="L115" i="5" s="1"/>
  <c r="K115" i="5"/>
  <c r="H58" i="5"/>
  <c r="K13" i="5"/>
  <c r="E10" i="10" s="1"/>
  <c r="K12" i="5"/>
  <c r="E9" i="10" s="1"/>
  <c r="L8" i="5"/>
  <c r="J12" i="5"/>
  <c r="D9" i="10" s="1"/>
  <c r="R156" i="5"/>
  <c r="D65" i="5"/>
  <c r="Y156" i="5"/>
  <c r="D108" i="5"/>
  <c r="E108" i="5" s="1"/>
  <c r="D104" i="5"/>
  <c r="E104" i="5" s="1"/>
  <c r="K142" i="5"/>
  <c r="D105" i="5"/>
  <c r="E105" i="5" s="1"/>
  <c r="D107" i="5"/>
  <c r="E107" i="5" s="1"/>
  <c r="D106" i="5"/>
  <c r="E106" i="5" s="1"/>
  <c r="H16" i="5"/>
  <c r="H42" i="5" s="1"/>
  <c r="H65" i="5" s="1"/>
  <c r="H70" i="5" s="1"/>
  <c r="L141" i="5"/>
  <c r="M96" i="5"/>
  <c r="G17" i="4"/>
  <c r="G18" i="4"/>
  <c r="G19" i="4"/>
  <c r="G20" i="4"/>
  <c r="G21" i="4"/>
  <c r="G22" i="4"/>
  <c r="G23" i="4"/>
  <c r="G24" i="4"/>
  <c r="G25" i="4"/>
  <c r="G26" i="4"/>
  <c r="G27" i="4"/>
  <c r="G28" i="4"/>
  <c r="G29" i="4"/>
  <c r="G30" i="4"/>
  <c r="G31" i="4"/>
  <c r="G32" i="4"/>
  <c r="G33" i="4"/>
  <c r="G34" i="4"/>
  <c r="G35" i="4"/>
  <c r="G36" i="4"/>
  <c r="G37" i="4"/>
  <c r="G16" i="4"/>
  <c r="I17" i="4"/>
  <c r="I18" i="4"/>
  <c r="I19" i="4"/>
  <c r="I20" i="4"/>
  <c r="I21" i="4"/>
  <c r="I22" i="4"/>
  <c r="I23" i="4"/>
  <c r="I24" i="4"/>
  <c r="I25" i="4"/>
  <c r="I26" i="4"/>
  <c r="I27" i="4"/>
  <c r="I28" i="4"/>
  <c r="I29" i="4"/>
  <c r="I30" i="4"/>
  <c r="I31" i="4"/>
  <c r="I32" i="4"/>
  <c r="I33" i="4"/>
  <c r="I34" i="4"/>
  <c r="I35" i="4"/>
  <c r="I36" i="4"/>
  <c r="I37" i="4"/>
  <c r="I16" i="4"/>
  <c r="K17" i="4"/>
  <c r="K18" i="4"/>
  <c r="K19" i="4"/>
  <c r="K20" i="4"/>
  <c r="K21" i="4"/>
  <c r="K22" i="4"/>
  <c r="K23" i="4"/>
  <c r="K24" i="4"/>
  <c r="K25" i="4"/>
  <c r="K26" i="4"/>
  <c r="K27" i="4"/>
  <c r="K28" i="4"/>
  <c r="K29" i="4"/>
  <c r="K30" i="4"/>
  <c r="K31" i="4"/>
  <c r="K32" i="4"/>
  <c r="K33" i="4"/>
  <c r="K34" i="4"/>
  <c r="K35" i="4"/>
  <c r="K36" i="4"/>
  <c r="K37" i="4"/>
  <c r="K16" i="4"/>
  <c r="K80" i="5" l="1"/>
  <c r="K79" i="5"/>
  <c r="J80" i="5"/>
  <c r="G72" i="5"/>
  <c r="G68" i="5"/>
  <c r="G71" i="5"/>
  <c r="G67" i="5"/>
  <c r="G69" i="5"/>
  <c r="G66" i="5"/>
  <c r="C63" i="11"/>
  <c r="D63" i="11"/>
  <c r="AK6" i="11"/>
  <c r="AK10" i="11"/>
  <c r="AK9" i="11"/>
  <c r="AK13" i="11"/>
  <c r="AK8" i="11"/>
  <c r="AK12" i="11"/>
  <c r="AK16" i="11"/>
  <c r="AK20" i="11"/>
  <c r="AK11" i="11"/>
  <c r="AK14" i="11"/>
  <c r="AK15" i="11"/>
  <c r="AK19" i="11"/>
  <c r="AK7" i="11"/>
  <c r="AK18" i="11"/>
  <c r="AK17" i="11"/>
  <c r="AK21" i="11"/>
  <c r="AL5" i="11"/>
  <c r="AL32" i="11"/>
  <c r="AL33" i="11" s="1"/>
  <c r="AL35" i="11" s="1"/>
  <c r="AM31" i="11"/>
  <c r="AL37" i="11"/>
  <c r="AL36" i="11"/>
  <c r="AL38" i="11"/>
  <c r="AL39" i="11"/>
  <c r="AL40" i="11"/>
  <c r="AL41" i="11"/>
  <c r="AL42" i="11"/>
  <c r="AL43" i="11"/>
  <c r="AL44" i="11"/>
  <c r="AL45" i="11"/>
  <c r="AL46" i="11"/>
  <c r="AL47" i="11"/>
  <c r="AL48" i="11"/>
  <c r="AL49" i="11"/>
  <c r="AL50" i="11"/>
  <c r="AL51" i="11"/>
  <c r="AL52" i="11"/>
  <c r="AL53" i="11"/>
  <c r="AL54" i="11"/>
  <c r="AL55" i="11"/>
  <c r="AL56" i="11"/>
  <c r="AL57" i="11"/>
  <c r="AL58" i="11"/>
  <c r="AL59" i="11"/>
  <c r="AL60" i="11"/>
  <c r="AL61" i="11"/>
  <c r="AL62" i="11"/>
  <c r="AL63" i="11"/>
  <c r="AL64" i="11"/>
  <c r="AC64" i="11"/>
  <c r="M64" i="11"/>
  <c r="AB64" i="11"/>
  <c r="G64" i="11"/>
  <c r="V64" i="11"/>
  <c r="Z64" i="11"/>
  <c r="AG64" i="11"/>
  <c r="AH64" i="11"/>
  <c r="F64" i="11"/>
  <c r="H64" i="11"/>
  <c r="Y64" i="11"/>
  <c r="I64" i="11"/>
  <c r="W64" i="11"/>
  <c r="P64" i="11"/>
  <c r="AE64" i="11"/>
  <c r="AD64" i="11"/>
  <c r="O64" i="11"/>
  <c r="X64" i="11"/>
  <c r="Q64" i="11"/>
  <c r="L64" i="11"/>
  <c r="J64" i="11"/>
  <c r="N64" i="11"/>
  <c r="U64" i="11"/>
  <c r="R64" i="11"/>
  <c r="AF64" i="11"/>
  <c r="K64" i="11"/>
  <c r="T64" i="11"/>
  <c r="S64" i="11"/>
  <c r="AA64" i="11"/>
  <c r="AI64" i="11"/>
  <c r="AJ64" i="11"/>
  <c r="AJ22" i="11"/>
  <c r="AJ23" i="11" s="1"/>
  <c r="B69" i="11"/>
  <c r="K67" i="5"/>
  <c r="E7" i="10"/>
  <c r="K74" i="5"/>
  <c r="K73" i="5"/>
  <c r="G59" i="5"/>
  <c r="G58" i="5"/>
  <c r="H101" i="5"/>
  <c r="J68" i="5"/>
  <c r="D7" i="10"/>
  <c r="K105" i="5"/>
  <c r="L105" i="5"/>
  <c r="J105" i="5"/>
  <c r="K106" i="5"/>
  <c r="L106" i="5"/>
  <c r="J106" i="5"/>
  <c r="L104" i="5"/>
  <c r="J104" i="5"/>
  <c r="K104" i="5"/>
  <c r="K107" i="5"/>
  <c r="L107" i="5"/>
  <c r="J107" i="5"/>
  <c r="L108" i="5"/>
  <c r="J108" i="5"/>
  <c r="K108" i="5"/>
  <c r="H57" i="5"/>
  <c r="H59" i="5"/>
  <c r="J66" i="5"/>
  <c r="M66" i="5" s="1"/>
  <c r="E65" i="5"/>
  <c r="G129" i="5"/>
  <c r="J65" i="5"/>
  <c r="J100" i="5" s="1"/>
  <c r="J114" i="5" s="1"/>
  <c r="T156" i="5"/>
  <c r="P153" i="5"/>
  <c r="P159" i="5" s="1"/>
  <c r="M115" i="5"/>
  <c r="AA156" i="5"/>
  <c r="L142" i="5"/>
  <c r="J38" i="5"/>
  <c r="D16" i="10" s="1"/>
  <c r="M43" i="5"/>
  <c r="F54" i="4"/>
  <c r="E54" i="4"/>
  <c r="D54" i="4"/>
  <c r="G135" i="5" l="1"/>
  <c r="J135" i="5" s="1"/>
  <c r="G136" i="5"/>
  <c r="G137" i="5"/>
  <c r="J137" i="5" s="1"/>
  <c r="G138" i="5"/>
  <c r="J138" i="5" s="1"/>
  <c r="H71" i="5"/>
  <c r="K71" i="5" s="1"/>
  <c r="H69" i="5"/>
  <c r="H72" i="5"/>
  <c r="H68" i="5"/>
  <c r="K68" i="5" s="1"/>
  <c r="H67" i="5"/>
  <c r="AL7" i="11"/>
  <c r="AL11" i="11"/>
  <c r="AL6" i="11"/>
  <c r="AL10" i="11"/>
  <c r="AL14" i="11"/>
  <c r="AL9" i="11"/>
  <c r="AL13" i="11"/>
  <c r="AL17" i="11"/>
  <c r="AL21" i="11"/>
  <c r="AL16" i="11"/>
  <c r="AL20" i="11"/>
  <c r="AL12" i="11"/>
  <c r="AL15" i="11"/>
  <c r="AL8" i="11"/>
  <c r="AL18" i="11"/>
  <c r="AL19" i="11"/>
  <c r="C64" i="11"/>
  <c r="AN31" i="11"/>
  <c r="AM37" i="11"/>
  <c r="AM32" i="11"/>
  <c r="AM33" i="11" s="1"/>
  <c r="AM35" i="11" s="1"/>
  <c r="AM36"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K22" i="11"/>
  <c r="AK23" i="11" s="1"/>
  <c r="Y65" i="11"/>
  <c r="I65" i="11"/>
  <c r="Z65" i="11"/>
  <c r="S65" i="11"/>
  <c r="W65" i="11"/>
  <c r="K65" i="11"/>
  <c r="P65" i="11"/>
  <c r="AA65" i="11"/>
  <c r="M65" i="11"/>
  <c r="X65" i="11"/>
  <c r="AB65" i="11"/>
  <c r="U65" i="11"/>
  <c r="T65" i="11"/>
  <c r="AI65" i="11"/>
  <c r="N65" i="11"/>
  <c r="L65" i="11"/>
  <c r="G65" i="11"/>
  <c r="AC65" i="11"/>
  <c r="J65" i="11"/>
  <c r="V65" i="11"/>
  <c r="AG65" i="11"/>
  <c r="Q65" i="11"/>
  <c r="O65" i="11"/>
  <c r="AD65" i="11"/>
  <c r="H65" i="11"/>
  <c r="AF65" i="11"/>
  <c r="R65" i="11"/>
  <c r="F65" i="11"/>
  <c r="AE65" i="11"/>
  <c r="AH65" i="11"/>
  <c r="AJ65" i="11"/>
  <c r="AK65" i="11"/>
  <c r="D64" i="11"/>
  <c r="AM5" i="11"/>
  <c r="B70" i="11"/>
  <c r="AL65" i="11"/>
  <c r="J109" i="5"/>
  <c r="D17" i="10" s="1"/>
  <c r="J134" i="5"/>
  <c r="J122" i="5"/>
  <c r="D31" i="10" s="1"/>
  <c r="J136" i="5"/>
  <c r="M4" i="5"/>
  <c r="I16" i="5"/>
  <c r="I42" i="5" s="1"/>
  <c r="I58" i="5" s="1"/>
  <c r="J59" i="5"/>
  <c r="J57" i="5"/>
  <c r="J58" i="5"/>
  <c r="J69" i="5"/>
  <c r="J78" i="5"/>
  <c r="J79" i="5"/>
  <c r="H129" i="5"/>
  <c r="P157" i="5"/>
  <c r="Y157" i="5" s="1"/>
  <c r="J157" i="5" s="1"/>
  <c r="J75" i="5"/>
  <c r="P166" i="5"/>
  <c r="Y166" i="5" s="1"/>
  <c r="P160" i="5"/>
  <c r="Y160" i="5" s="1"/>
  <c r="K65" i="5"/>
  <c r="K100" i="5" s="1"/>
  <c r="K114" i="5" s="1"/>
  <c r="P162" i="5"/>
  <c r="Y162" i="5" s="1"/>
  <c r="J162" i="5" s="1"/>
  <c r="P165" i="5"/>
  <c r="Y165" i="5" s="1"/>
  <c r="J165" i="5" s="1"/>
  <c r="P164" i="5"/>
  <c r="Y164" i="5" s="1"/>
  <c r="P163" i="5"/>
  <c r="Y163" i="5" s="1"/>
  <c r="P161" i="5"/>
  <c r="Y161" i="5" s="1"/>
  <c r="P158" i="5"/>
  <c r="Y158" i="5" s="1"/>
  <c r="J46" i="5"/>
  <c r="F65" i="5"/>
  <c r="Y159" i="5"/>
  <c r="R153" i="5"/>
  <c r="R166" i="5" s="1"/>
  <c r="AC156" i="5"/>
  <c r="M104" i="5"/>
  <c r="M106" i="5"/>
  <c r="M108" i="5"/>
  <c r="M105" i="5"/>
  <c r="J39" i="5"/>
  <c r="J52" i="5"/>
  <c r="L109" i="5"/>
  <c r="F17" i="10" s="1"/>
  <c r="M107" i="5"/>
  <c r="K109" i="5"/>
  <c r="E17" i="10" s="1"/>
  <c r="M103" i="5"/>
  <c r="J141" i="5"/>
  <c r="K38" i="5"/>
  <c r="E16" i="10" s="1"/>
  <c r="J71" i="5"/>
  <c r="J74" i="5"/>
  <c r="J72" i="5"/>
  <c r="J50" i="5"/>
  <c r="J73" i="5"/>
  <c r="J55" i="5"/>
  <c r="J77" i="5"/>
  <c r="J70" i="5"/>
  <c r="J76" i="5"/>
  <c r="J44" i="5"/>
  <c r="C111" i="4"/>
  <c r="I72" i="5" l="1"/>
  <c r="I68" i="5"/>
  <c r="I71" i="5"/>
  <c r="I67" i="5"/>
  <c r="I69" i="5"/>
  <c r="H135" i="5"/>
  <c r="K135" i="5" s="1"/>
  <c r="H137" i="5"/>
  <c r="H138" i="5"/>
  <c r="K138" i="5" s="1"/>
  <c r="H136" i="5"/>
  <c r="I21" i="5"/>
  <c r="L21" i="5" s="1"/>
  <c r="I29" i="5"/>
  <c r="L29" i="5" s="1"/>
  <c r="I18" i="5"/>
  <c r="L18" i="5" s="1"/>
  <c r="M18" i="5" s="1"/>
  <c r="I24" i="5"/>
  <c r="L24" i="5" s="1"/>
  <c r="I30" i="5"/>
  <c r="L30" i="5" s="1"/>
  <c r="I20" i="5"/>
  <c r="L20" i="5" s="1"/>
  <c r="I19" i="5"/>
  <c r="I26" i="5"/>
  <c r="L26" i="5" s="1"/>
  <c r="I22" i="5"/>
  <c r="L22" i="5" s="1"/>
  <c r="I31" i="5"/>
  <c r="L31" i="5" s="1"/>
  <c r="I28" i="5"/>
  <c r="L28" i="5" s="1"/>
  <c r="I17" i="5"/>
  <c r="L17" i="5" s="1"/>
  <c r="M17" i="5" s="1"/>
  <c r="I25" i="5"/>
  <c r="L25" i="5" s="1"/>
  <c r="I23" i="5"/>
  <c r="L23" i="5" s="1"/>
  <c r="AM8" i="11"/>
  <c r="AM7" i="11"/>
  <c r="AM11" i="11"/>
  <c r="AM6" i="11"/>
  <c r="AM10" i="11"/>
  <c r="AM14" i="11"/>
  <c r="AM9" i="11"/>
  <c r="AM13" i="11"/>
  <c r="AM18" i="11"/>
  <c r="AM17" i="11"/>
  <c r="AM21" i="11"/>
  <c r="AM16" i="11"/>
  <c r="AM12" i="11"/>
  <c r="AM19" i="11"/>
  <c r="AM20" i="11"/>
  <c r="AM15" i="11"/>
  <c r="C65" i="11"/>
  <c r="AL22" i="11"/>
  <c r="AL23" i="11" s="1"/>
  <c r="AN67" i="11" s="1"/>
  <c r="D65" i="11"/>
  <c r="V66" i="11"/>
  <c r="AB66" i="11"/>
  <c r="I66" i="11"/>
  <c r="S66" i="11"/>
  <c r="AE66" i="11"/>
  <c r="F66" i="11"/>
  <c r="AA66" i="11"/>
  <c r="J66" i="11"/>
  <c r="Z66" i="11"/>
  <c r="Y66" i="11"/>
  <c r="T66" i="11"/>
  <c r="AH66" i="11"/>
  <c r="R66" i="11"/>
  <c r="W66" i="11"/>
  <c r="L66" i="11"/>
  <c r="X66" i="11"/>
  <c r="AC66" i="11"/>
  <c r="N66" i="11"/>
  <c r="H66" i="11"/>
  <c r="AG66" i="11"/>
  <c r="AK66" i="11"/>
  <c r="AI66" i="11"/>
  <c r="AD66" i="11"/>
  <c r="Q66" i="11"/>
  <c r="AF66" i="11"/>
  <c r="G66" i="11"/>
  <c r="P66" i="11"/>
  <c r="O66" i="11"/>
  <c r="U66" i="11"/>
  <c r="AJ66" i="11"/>
  <c r="M66" i="11"/>
  <c r="K66" i="11"/>
  <c r="AL66" i="11"/>
  <c r="AN5" i="11"/>
  <c r="AN32" i="11"/>
  <c r="AN33" i="11" s="1"/>
  <c r="AN35" i="11" s="1"/>
  <c r="AO31" i="11"/>
  <c r="AN36" i="11"/>
  <c r="AN37" i="11"/>
  <c r="AN38" i="11"/>
  <c r="AN39" i="11"/>
  <c r="AN40" i="11"/>
  <c r="AN41" i="11"/>
  <c r="AN42" i="11"/>
  <c r="AN43" i="11"/>
  <c r="AN44" i="11"/>
  <c r="AN45" i="11"/>
  <c r="AN46" i="11"/>
  <c r="AN47" i="11"/>
  <c r="AN48" i="11"/>
  <c r="AN49" i="11"/>
  <c r="AN50" i="11"/>
  <c r="AN51" i="11"/>
  <c r="AN52" i="11"/>
  <c r="AN53" i="11"/>
  <c r="AN54" i="11"/>
  <c r="AN55" i="11"/>
  <c r="AN56" i="11"/>
  <c r="AN57" i="11"/>
  <c r="AN58" i="11"/>
  <c r="AN59" i="11"/>
  <c r="AN60" i="11"/>
  <c r="AN61" i="11"/>
  <c r="AN62" i="11"/>
  <c r="AN63" i="11"/>
  <c r="AN64" i="11"/>
  <c r="AN65" i="11"/>
  <c r="AN66" i="11"/>
  <c r="AM66" i="11"/>
  <c r="L6" i="5"/>
  <c r="F6" i="10" s="1"/>
  <c r="I32" i="5"/>
  <c r="I33" i="5"/>
  <c r="L33" i="5" s="1"/>
  <c r="I35" i="5"/>
  <c r="L35" i="5" s="1"/>
  <c r="I27" i="5"/>
  <c r="I34" i="5"/>
  <c r="L34" i="5" s="1"/>
  <c r="I36" i="5"/>
  <c r="L36" i="5" s="1"/>
  <c r="I37" i="5"/>
  <c r="L37" i="5" s="1"/>
  <c r="M37" i="5" s="1"/>
  <c r="J110" i="5"/>
  <c r="D18" i="10" s="1"/>
  <c r="D19" i="10" s="1"/>
  <c r="G17" i="10"/>
  <c r="K137" i="5"/>
  <c r="K136" i="5"/>
  <c r="L67" i="5"/>
  <c r="K134" i="5"/>
  <c r="K122" i="5"/>
  <c r="I65" i="5"/>
  <c r="I70" i="5" s="1"/>
  <c r="V156" i="5"/>
  <c r="AE156" i="5" s="1"/>
  <c r="K70" i="5"/>
  <c r="K77" i="5"/>
  <c r="K59" i="5"/>
  <c r="K57" i="5"/>
  <c r="K58" i="5"/>
  <c r="J48" i="5"/>
  <c r="J56" i="5"/>
  <c r="K78" i="5"/>
  <c r="K75" i="5"/>
  <c r="J123" i="5"/>
  <c r="D32" i="10" s="1"/>
  <c r="J45" i="5"/>
  <c r="J47" i="5"/>
  <c r="R159" i="5"/>
  <c r="AA159" i="5" s="1"/>
  <c r="K159" i="5" s="1"/>
  <c r="AA166" i="5"/>
  <c r="K166" i="5" s="1"/>
  <c r="R163" i="5"/>
  <c r="AA163" i="5" s="1"/>
  <c r="K163" i="5" s="1"/>
  <c r="R164" i="5"/>
  <c r="AA164" i="5" s="1"/>
  <c r="K164" i="5" s="1"/>
  <c r="R161" i="5"/>
  <c r="AA161" i="5" s="1"/>
  <c r="K161" i="5" s="1"/>
  <c r="R160" i="5"/>
  <c r="AA160" i="5" s="1"/>
  <c r="K160" i="5" s="1"/>
  <c r="R165" i="5"/>
  <c r="AA165" i="5" s="1"/>
  <c r="K165" i="5" s="1"/>
  <c r="R158" i="5"/>
  <c r="AA158" i="5" s="1"/>
  <c r="K158" i="5" s="1"/>
  <c r="R162" i="5"/>
  <c r="AA162" i="5" s="1"/>
  <c r="K162" i="5" s="1"/>
  <c r="R157" i="5"/>
  <c r="AA157" i="5" s="1"/>
  <c r="K157" i="5" s="1"/>
  <c r="M156" i="5"/>
  <c r="K72" i="5"/>
  <c r="K46" i="5"/>
  <c r="K110" i="5"/>
  <c r="K111" i="5" s="1"/>
  <c r="L110" i="5"/>
  <c r="L111" i="5" s="1"/>
  <c r="L65" i="5"/>
  <c r="L100" i="5" s="1"/>
  <c r="L114" i="5" s="1"/>
  <c r="I129" i="5"/>
  <c r="K50" i="5"/>
  <c r="K55" i="5"/>
  <c r="K44" i="5"/>
  <c r="K52" i="5"/>
  <c r="J158" i="5"/>
  <c r="J166" i="5"/>
  <c r="J164" i="5"/>
  <c r="J161" i="5"/>
  <c r="J163" i="5"/>
  <c r="J159" i="5"/>
  <c r="J160" i="5"/>
  <c r="J40" i="5"/>
  <c r="M109" i="5"/>
  <c r="J147" i="5"/>
  <c r="D33" i="10" s="1"/>
  <c r="K69" i="5"/>
  <c r="K76" i="5"/>
  <c r="K39" i="5"/>
  <c r="M112" i="4"/>
  <c r="M113" i="4"/>
  <c r="M114" i="4"/>
  <c r="M115" i="4"/>
  <c r="M116" i="4"/>
  <c r="M117" i="4"/>
  <c r="M118" i="4"/>
  <c r="G109" i="4"/>
  <c r="G110" i="4"/>
  <c r="E109" i="4"/>
  <c r="F109" i="4" s="1"/>
  <c r="K109" i="4" s="1"/>
  <c r="E110" i="4"/>
  <c r="I110" i="4" s="1"/>
  <c r="L7" i="5" l="1"/>
  <c r="F7" i="10" s="1"/>
  <c r="I135" i="5"/>
  <c r="L135" i="5" s="1"/>
  <c r="I138" i="5"/>
  <c r="L138" i="5" s="1"/>
  <c r="I136" i="5"/>
  <c r="L136" i="5" s="1"/>
  <c r="I137" i="5"/>
  <c r="L137" i="5" s="1"/>
  <c r="L68" i="5"/>
  <c r="L71" i="5"/>
  <c r="M71" i="5" s="1"/>
  <c r="L10" i="5"/>
  <c r="I57" i="5" s="1"/>
  <c r="L19" i="5"/>
  <c r="M19" i="5" s="1"/>
  <c r="AN9" i="11"/>
  <c r="AN8" i="11"/>
  <c r="AN12" i="11"/>
  <c r="AN7" i="11"/>
  <c r="AN11" i="11"/>
  <c r="AN15" i="11"/>
  <c r="AN19" i="11"/>
  <c r="AN10" i="11"/>
  <c r="AN13" i="11"/>
  <c r="AN18" i="11"/>
  <c r="AN6" i="11"/>
  <c r="AN14" i="11"/>
  <c r="AN17" i="11"/>
  <c r="AN16" i="11"/>
  <c r="AN20" i="11"/>
  <c r="AN21" i="11"/>
  <c r="I40" i="5"/>
  <c r="C66" i="11"/>
  <c r="AO5" i="11"/>
  <c r="AO32" i="11"/>
  <c r="AO33" i="11" s="1"/>
  <c r="AO35" i="11" s="1"/>
  <c r="AO36" i="11"/>
  <c r="E36" i="11" s="1"/>
  <c r="AO37" i="11"/>
  <c r="E37" i="11" s="1"/>
  <c r="AO38" i="11"/>
  <c r="E38" i="11" s="1"/>
  <c r="AO39" i="11"/>
  <c r="E39" i="11" s="1"/>
  <c r="AO40" i="11"/>
  <c r="E40" i="11" s="1"/>
  <c r="AO41" i="11"/>
  <c r="E41" i="11" s="1"/>
  <c r="AO42" i="11"/>
  <c r="E42" i="11" s="1"/>
  <c r="AO43" i="11"/>
  <c r="E43" i="11" s="1"/>
  <c r="AO44" i="11"/>
  <c r="E44" i="11" s="1"/>
  <c r="AO45" i="11"/>
  <c r="E45" i="11" s="1"/>
  <c r="AO46" i="11"/>
  <c r="E46" i="11" s="1"/>
  <c r="AO47" i="11"/>
  <c r="E47" i="11" s="1"/>
  <c r="AO48" i="11"/>
  <c r="E48" i="11" s="1"/>
  <c r="AO49" i="11"/>
  <c r="E49" i="11" s="1"/>
  <c r="AO50" i="11"/>
  <c r="E50" i="11" s="1"/>
  <c r="AO51" i="11"/>
  <c r="E51" i="11" s="1"/>
  <c r="AO52" i="11"/>
  <c r="E52" i="11" s="1"/>
  <c r="AO53" i="11"/>
  <c r="E53" i="11" s="1"/>
  <c r="AO54" i="11"/>
  <c r="E54" i="11" s="1"/>
  <c r="AO55" i="11"/>
  <c r="E55" i="11" s="1"/>
  <c r="AO56" i="11"/>
  <c r="E56" i="11" s="1"/>
  <c r="AO57" i="11"/>
  <c r="E57" i="11" s="1"/>
  <c r="AO58" i="11"/>
  <c r="E58" i="11" s="1"/>
  <c r="AO59" i="11"/>
  <c r="E59" i="11" s="1"/>
  <c r="AO60" i="11"/>
  <c r="E60" i="11" s="1"/>
  <c r="AO61" i="11"/>
  <c r="E61" i="11" s="1"/>
  <c r="AO62" i="11"/>
  <c r="E62" i="11" s="1"/>
  <c r="AO63" i="11"/>
  <c r="E63" i="11" s="1"/>
  <c r="AO64" i="11"/>
  <c r="E64" i="11" s="1"/>
  <c r="AO65" i="11"/>
  <c r="E65" i="11" s="1"/>
  <c r="AO66" i="11"/>
  <c r="E66" i="11" s="1"/>
  <c r="AO67" i="11"/>
  <c r="D66" i="11"/>
  <c r="Z67" i="11"/>
  <c r="J67" i="11"/>
  <c r="AG67" i="11"/>
  <c r="Q67" i="11"/>
  <c r="W67" i="11"/>
  <c r="X67" i="11"/>
  <c r="T67" i="11"/>
  <c r="P67" i="11"/>
  <c r="AA67" i="11"/>
  <c r="AI67" i="11"/>
  <c r="AL67" i="11"/>
  <c r="V67" i="11"/>
  <c r="F67" i="11"/>
  <c r="AC67" i="11"/>
  <c r="O67" i="11"/>
  <c r="M67" i="11"/>
  <c r="L67" i="11"/>
  <c r="K67" i="11"/>
  <c r="AD67" i="11"/>
  <c r="AK67" i="11"/>
  <c r="AE67" i="11"/>
  <c r="AJ67" i="11"/>
  <c r="AH67" i="11"/>
  <c r="R67" i="11"/>
  <c r="Y67" i="11"/>
  <c r="I67" i="11"/>
  <c r="G67" i="11"/>
  <c r="S67" i="11"/>
  <c r="H67" i="11"/>
  <c r="N67" i="11"/>
  <c r="U67" i="11"/>
  <c r="AF67" i="11"/>
  <c r="AB67" i="11"/>
  <c r="AM67" i="11"/>
  <c r="AM22" i="11"/>
  <c r="AM23" i="11" s="1"/>
  <c r="L12" i="5"/>
  <c r="F9" i="10" s="1"/>
  <c r="L11" i="5"/>
  <c r="I59" i="5" s="1"/>
  <c r="L32" i="5"/>
  <c r="M32" i="5" s="1"/>
  <c r="L9" i="5"/>
  <c r="F8" i="10" s="1"/>
  <c r="L13" i="5"/>
  <c r="F10" i="10" s="1"/>
  <c r="L27" i="5"/>
  <c r="M27" i="5" s="1"/>
  <c r="J111" i="5"/>
  <c r="M111" i="5" s="1"/>
  <c r="T153" i="5"/>
  <c r="T159" i="5" s="1"/>
  <c r="AC159" i="5" s="1"/>
  <c r="I101" i="5"/>
  <c r="E18" i="10"/>
  <c r="K123" i="5"/>
  <c r="E32" i="10" s="1"/>
  <c r="E31" i="10"/>
  <c r="L134" i="5"/>
  <c r="L122" i="5"/>
  <c r="F31" i="10" s="1"/>
  <c r="J60" i="5"/>
  <c r="D21" i="10" s="1"/>
  <c r="K56" i="5"/>
  <c r="K47" i="5"/>
  <c r="K45" i="5"/>
  <c r="K48" i="5"/>
  <c r="K147" i="5"/>
  <c r="E33" i="10" s="1"/>
  <c r="J124" i="5"/>
  <c r="M20" i="5"/>
  <c r="M24" i="5"/>
  <c r="M25" i="5"/>
  <c r="M23" i="5"/>
  <c r="M22" i="5"/>
  <c r="M26" i="5"/>
  <c r="M21" i="5"/>
  <c r="M34" i="5"/>
  <c r="M30" i="5"/>
  <c r="M31" i="5"/>
  <c r="M35" i="5"/>
  <c r="M33" i="5"/>
  <c r="M36" i="5"/>
  <c r="M29" i="5"/>
  <c r="M110" i="5"/>
  <c r="J167" i="5"/>
  <c r="D13" i="10" s="1"/>
  <c r="J148" i="5"/>
  <c r="D34" i="10" s="1"/>
  <c r="M28" i="5"/>
  <c r="K40" i="5"/>
  <c r="I109" i="4"/>
  <c r="F110" i="4"/>
  <c r="K110" i="4" s="1"/>
  <c r="E111" i="4"/>
  <c r="F111" i="4" s="1"/>
  <c r="K111" i="4" s="1"/>
  <c r="G111" i="4"/>
  <c r="L79" i="5" l="1"/>
  <c r="M79" i="5" s="1"/>
  <c r="L80" i="5"/>
  <c r="T161" i="5"/>
  <c r="AC161" i="5" s="1"/>
  <c r="L161" i="5" s="1"/>
  <c r="M161" i="5" s="1"/>
  <c r="U159" i="5"/>
  <c r="V159" i="5" s="1"/>
  <c r="T163" i="5"/>
  <c r="AC163" i="5" s="1"/>
  <c r="L163" i="5" s="1"/>
  <c r="M163" i="5" s="1"/>
  <c r="L38" i="5"/>
  <c r="L39" i="5" s="1"/>
  <c r="F18" i="10" s="1"/>
  <c r="G18" i="10" s="1"/>
  <c r="T160" i="5"/>
  <c r="AC160" i="5" s="1"/>
  <c r="L160" i="5" s="1"/>
  <c r="M160" i="5" s="1"/>
  <c r="AO6" i="11"/>
  <c r="AO10" i="11"/>
  <c r="E10" i="11" s="1"/>
  <c r="AO9" i="11"/>
  <c r="E9" i="11" s="1"/>
  <c r="AO13" i="11"/>
  <c r="E13" i="11" s="1"/>
  <c r="AO8" i="11"/>
  <c r="E8" i="11" s="1"/>
  <c r="AO12" i="11"/>
  <c r="E12" i="11" s="1"/>
  <c r="AO16" i="11"/>
  <c r="E16" i="11" s="1"/>
  <c r="AO20" i="11"/>
  <c r="E20" i="11" s="1"/>
  <c r="AO15" i="11"/>
  <c r="E15" i="11" s="1"/>
  <c r="AO19" i="11"/>
  <c r="E19" i="11" s="1"/>
  <c r="AO11" i="11"/>
  <c r="E11" i="11" s="1"/>
  <c r="AO18" i="11"/>
  <c r="E18" i="11" s="1"/>
  <c r="AO17" i="11"/>
  <c r="E17" i="11" s="1"/>
  <c r="AO21" i="11"/>
  <c r="E21" i="11" s="1"/>
  <c r="AO7" i="11"/>
  <c r="E7" i="11" s="1"/>
  <c r="AO14" i="11"/>
  <c r="E14" i="11" s="1"/>
  <c r="T164" i="5"/>
  <c r="AC164" i="5" s="1"/>
  <c r="L164" i="5" s="1"/>
  <c r="M164" i="5" s="1"/>
  <c r="U153" i="5"/>
  <c r="T166" i="5"/>
  <c r="U166" i="5" s="1"/>
  <c r="V166" i="5" s="1"/>
  <c r="T158" i="5"/>
  <c r="AC158" i="5" s="1"/>
  <c r="L158" i="5" s="1"/>
  <c r="M158" i="5" s="1"/>
  <c r="T165" i="5"/>
  <c r="AC165" i="5" s="1"/>
  <c r="L165" i="5" s="1"/>
  <c r="M165" i="5" s="1"/>
  <c r="T157" i="5"/>
  <c r="AC157" i="5" s="1"/>
  <c r="L157" i="5" s="1"/>
  <c r="M157" i="5" s="1"/>
  <c r="T162" i="5"/>
  <c r="U162" i="5" s="1"/>
  <c r="V162" i="5" s="1"/>
  <c r="E35" i="11"/>
  <c r="D67" i="11"/>
  <c r="C67" i="11"/>
  <c r="AL68" i="11"/>
  <c r="V68" i="11"/>
  <c r="F68" i="11"/>
  <c r="AC68" i="11"/>
  <c r="M68" i="11"/>
  <c r="AF68" i="11"/>
  <c r="P68" i="11"/>
  <c r="O68" i="11"/>
  <c r="G68" i="11"/>
  <c r="AG68" i="11"/>
  <c r="T68" i="11"/>
  <c r="AH68" i="11"/>
  <c r="R68" i="11"/>
  <c r="Y68" i="11"/>
  <c r="I68" i="11"/>
  <c r="AB68" i="11"/>
  <c r="L68" i="11"/>
  <c r="AI68" i="11"/>
  <c r="Z68" i="11"/>
  <c r="Q68" i="11"/>
  <c r="AE68" i="11"/>
  <c r="S68" i="11"/>
  <c r="AD68" i="11"/>
  <c r="N68" i="11"/>
  <c r="AK68" i="11"/>
  <c r="U68" i="11"/>
  <c r="X68" i="11"/>
  <c r="H68" i="11"/>
  <c r="K68" i="11"/>
  <c r="W68" i="11"/>
  <c r="J68" i="11"/>
  <c r="AJ68" i="11"/>
  <c r="AA68" i="11"/>
  <c r="AM68" i="11"/>
  <c r="AN68" i="11"/>
  <c r="E67" i="11"/>
  <c r="AO68" i="11"/>
  <c r="AN22" i="11"/>
  <c r="AN23" i="11" s="1"/>
  <c r="L73" i="5"/>
  <c r="M73" i="5" s="1"/>
  <c r="L74" i="5"/>
  <c r="M74" i="5" s="1"/>
  <c r="J125" i="5"/>
  <c r="L147" i="5"/>
  <c r="F33" i="10" s="1"/>
  <c r="G33" i="10" s="1"/>
  <c r="K124" i="5"/>
  <c r="K125" i="5" s="1"/>
  <c r="E19" i="10"/>
  <c r="L123" i="5"/>
  <c r="F32" i="10" s="1"/>
  <c r="G32" i="10" s="1"/>
  <c r="G31" i="10"/>
  <c r="M114" i="5"/>
  <c r="M122" i="5" s="1"/>
  <c r="D35" i="10"/>
  <c r="K60" i="5"/>
  <c r="L46" i="5"/>
  <c r="M46" i="5" s="1"/>
  <c r="L78" i="5"/>
  <c r="M78" i="5" s="1"/>
  <c r="K148" i="5"/>
  <c r="E34" i="10" s="1"/>
  <c r="E35" i="10" s="1"/>
  <c r="J61" i="5"/>
  <c r="D22" i="10" s="1"/>
  <c r="L75" i="5"/>
  <c r="M75" i="5" s="1"/>
  <c r="L52" i="5"/>
  <c r="M52" i="5" s="1"/>
  <c r="L44" i="5"/>
  <c r="L55" i="5"/>
  <c r="M55" i="5" s="1"/>
  <c r="L50" i="5"/>
  <c r="M50" i="5" s="1"/>
  <c r="L77" i="5"/>
  <c r="M77" i="5" s="1"/>
  <c r="L76" i="5"/>
  <c r="M76" i="5" s="1"/>
  <c r="K167" i="5"/>
  <c r="E13" i="10" s="1"/>
  <c r="L159" i="5"/>
  <c r="AD159" i="5"/>
  <c r="L69" i="5"/>
  <c r="M69" i="5" s="1"/>
  <c r="J149" i="5"/>
  <c r="L70" i="5"/>
  <c r="M70" i="5" s="1"/>
  <c r="L72" i="5"/>
  <c r="M72" i="5" s="1"/>
  <c r="I111" i="4"/>
  <c r="AD161" i="5" l="1"/>
  <c r="U161" i="5"/>
  <c r="V161" i="5" s="1"/>
  <c r="M80" i="5"/>
  <c r="U163" i="5"/>
  <c r="V163" i="5" s="1"/>
  <c r="AD163" i="5"/>
  <c r="M38" i="5"/>
  <c r="F16" i="10"/>
  <c r="F19" i="10" s="1"/>
  <c r="AD160" i="5"/>
  <c r="AD165" i="5"/>
  <c r="AD164" i="5"/>
  <c r="U160" i="5"/>
  <c r="V160" i="5" s="1"/>
  <c r="U157" i="5"/>
  <c r="V157" i="5" s="1"/>
  <c r="AD157" i="5"/>
  <c r="AC162" i="5"/>
  <c r="AD162" i="5" s="1"/>
  <c r="U165" i="5"/>
  <c r="V165" i="5" s="1"/>
  <c r="U164" i="5"/>
  <c r="V164" i="5" s="1"/>
  <c r="AC166" i="5"/>
  <c r="L166" i="5" s="1"/>
  <c r="M166" i="5" s="1"/>
  <c r="U158" i="5"/>
  <c r="V158" i="5" s="1"/>
  <c r="AD158" i="5"/>
  <c r="D68" i="11"/>
  <c r="Z69" i="11"/>
  <c r="J69" i="11"/>
  <c r="AG69" i="11"/>
  <c r="Q69" i="11"/>
  <c r="AJ69" i="11"/>
  <c r="T69" i="11"/>
  <c r="AM69" i="11"/>
  <c r="O69" i="11"/>
  <c r="S69" i="11"/>
  <c r="L69" i="11"/>
  <c r="K69" i="11"/>
  <c r="N69" i="11"/>
  <c r="AN69" i="11"/>
  <c r="AI69" i="11"/>
  <c r="AL69" i="11"/>
  <c r="V69" i="11"/>
  <c r="F69" i="11"/>
  <c r="AC69" i="11"/>
  <c r="M69" i="11"/>
  <c r="AF69" i="11"/>
  <c r="P69" i="11"/>
  <c r="W69" i="11"/>
  <c r="AE69" i="11"/>
  <c r="AB69" i="11"/>
  <c r="AD69" i="11"/>
  <c r="U69" i="11"/>
  <c r="H69" i="11"/>
  <c r="AA69" i="11"/>
  <c r="AH69" i="11"/>
  <c r="R69" i="11"/>
  <c r="Y69" i="11"/>
  <c r="I69" i="11"/>
  <c r="G69" i="11"/>
  <c r="AK69" i="11"/>
  <c r="X69" i="11"/>
  <c r="AO69" i="11"/>
  <c r="AO22" i="11"/>
  <c r="AO23" i="11" s="1"/>
  <c r="E6" i="11"/>
  <c r="E22" i="11" s="1"/>
  <c r="E68" i="11"/>
  <c r="C68" i="11"/>
  <c r="L124" i="5"/>
  <c r="L125" i="5" s="1"/>
  <c r="M39" i="5"/>
  <c r="L40" i="5"/>
  <c r="M40" i="5" s="1"/>
  <c r="M123" i="5"/>
  <c r="M124" i="5" s="1"/>
  <c r="M125" i="5" s="1"/>
  <c r="L148" i="5"/>
  <c r="F34" i="10" s="1"/>
  <c r="F35" i="10" s="1"/>
  <c r="M147" i="5"/>
  <c r="K61" i="5"/>
  <c r="E22" i="10" s="1"/>
  <c r="E21" i="10"/>
  <c r="D23" i="10"/>
  <c r="L57" i="5"/>
  <c r="M57" i="5" s="1"/>
  <c r="L59" i="5"/>
  <c r="M59" i="5" s="1"/>
  <c r="L58" i="5"/>
  <c r="K149" i="5"/>
  <c r="J62" i="5"/>
  <c r="J63" i="5" s="1"/>
  <c r="M44" i="5"/>
  <c r="M159" i="5"/>
  <c r="M111" i="4"/>
  <c r="M109" i="4"/>
  <c r="G119" i="4"/>
  <c r="G16" i="10" l="1"/>
  <c r="G19" i="10" s="1"/>
  <c r="L162" i="5"/>
  <c r="M162" i="5" s="1"/>
  <c r="M167" i="5" s="1"/>
  <c r="AD166" i="5"/>
  <c r="D69" i="11"/>
  <c r="AL70" i="11"/>
  <c r="AL71" i="11" s="1"/>
  <c r="V70" i="11"/>
  <c r="V71" i="11" s="1"/>
  <c r="F70" i="11"/>
  <c r="AC70" i="11"/>
  <c r="AC71" i="11" s="1"/>
  <c r="M70" i="11"/>
  <c r="M71" i="11" s="1"/>
  <c r="AF70" i="11"/>
  <c r="AF71" i="11" s="1"/>
  <c r="P70" i="11"/>
  <c r="P71" i="11" s="1"/>
  <c r="O70" i="11"/>
  <c r="O71" i="11" s="1"/>
  <c r="K70" i="11"/>
  <c r="K71" i="11" s="1"/>
  <c r="AN70" i="11"/>
  <c r="AN71" i="11" s="1"/>
  <c r="S70" i="11"/>
  <c r="S71" i="11" s="1"/>
  <c r="Z70" i="11"/>
  <c r="Z71" i="11" s="1"/>
  <c r="AG70" i="11"/>
  <c r="AG71" i="11" s="1"/>
  <c r="T70" i="11"/>
  <c r="T71" i="11" s="1"/>
  <c r="W70" i="11"/>
  <c r="W71" i="11" s="1"/>
  <c r="AH70" i="11"/>
  <c r="AH71" i="11" s="1"/>
  <c r="R70" i="11"/>
  <c r="AO70" i="11"/>
  <c r="AO71" i="11" s="1"/>
  <c r="Y70" i="11"/>
  <c r="Y71" i="11" s="1"/>
  <c r="I70" i="11"/>
  <c r="I71" i="11" s="1"/>
  <c r="AB70" i="11"/>
  <c r="AB71" i="11" s="1"/>
  <c r="L70" i="11"/>
  <c r="L71" i="11" s="1"/>
  <c r="AM70" i="11"/>
  <c r="AM71" i="11" s="1"/>
  <c r="G70" i="11"/>
  <c r="G71" i="11" s="1"/>
  <c r="U70" i="11"/>
  <c r="U71" i="11" s="1"/>
  <c r="H70" i="11"/>
  <c r="H71" i="11" s="1"/>
  <c r="J70" i="11"/>
  <c r="J71" i="11" s="1"/>
  <c r="AJ70" i="11"/>
  <c r="AJ71" i="11" s="1"/>
  <c r="AE70" i="11"/>
  <c r="AE71" i="11" s="1"/>
  <c r="AD70" i="11"/>
  <c r="N70" i="11"/>
  <c r="N71" i="11" s="1"/>
  <c r="AK70" i="11"/>
  <c r="AK71" i="11" s="1"/>
  <c r="X70" i="11"/>
  <c r="X71" i="11" s="1"/>
  <c r="AA70" i="11"/>
  <c r="AA71" i="11" s="1"/>
  <c r="Q70" i="11"/>
  <c r="Q71" i="11" s="1"/>
  <c r="AI70" i="11"/>
  <c r="AI71" i="11" s="1"/>
  <c r="E69" i="11"/>
  <c r="C69" i="11"/>
  <c r="K62" i="5"/>
  <c r="K63" i="5" s="1"/>
  <c r="L149" i="5"/>
  <c r="M149" i="5" s="1"/>
  <c r="M148" i="5"/>
  <c r="G34" i="10"/>
  <c r="G35" i="10" s="1"/>
  <c r="E23" i="10"/>
  <c r="M58" i="5"/>
  <c r="L56" i="5"/>
  <c r="M56" i="5" s="1"/>
  <c r="L45" i="5"/>
  <c r="L48" i="5"/>
  <c r="M48" i="5" s="1"/>
  <c r="L47" i="5"/>
  <c r="M47" i="5" s="1"/>
  <c r="D26" i="4"/>
  <c r="E26" i="4" s="1"/>
  <c r="L167" i="5" l="1"/>
  <c r="F13" i="10" s="1"/>
  <c r="G13" i="10" s="1"/>
  <c r="AB73" i="11"/>
  <c r="AB74" i="11" s="1"/>
  <c r="M73" i="11"/>
  <c r="M74" i="11" s="1"/>
  <c r="U73" i="11"/>
  <c r="U74" i="11" s="1"/>
  <c r="W73" i="11"/>
  <c r="W74" i="11" s="1"/>
  <c r="Y73" i="11"/>
  <c r="Y74" i="11" s="1"/>
  <c r="AF73" i="11"/>
  <c r="AF74" i="11" s="1"/>
  <c r="V73" i="11"/>
  <c r="V74" i="11" s="1"/>
  <c r="AC73" i="11"/>
  <c r="AC74" i="11" s="1"/>
  <c r="D70" i="11"/>
  <c r="D71" i="11" s="1"/>
  <c r="E48" i="10" s="1"/>
  <c r="R71" i="11"/>
  <c r="AH73" i="11"/>
  <c r="AH74" i="11" s="1"/>
  <c r="L73" i="11"/>
  <c r="L74" i="11" s="1"/>
  <c r="N73" i="11"/>
  <c r="N74" i="11" s="1"/>
  <c r="AM73" i="11"/>
  <c r="AM74" i="11" s="1"/>
  <c r="I73" i="11"/>
  <c r="I74" i="11" s="1"/>
  <c r="AO73" i="11"/>
  <c r="AO74" i="11" s="1"/>
  <c r="AL73" i="11"/>
  <c r="AL74" i="11" s="1"/>
  <c r="AK73" i="11"/>
  <c r="AK74" i="11" s="1"/>
  <c r="H73" i="11"/>
  <c r="H74" i="11" s="1"/>
  <c r="J73" i="11"/>
  <c r="J74" i="11" s="1"/>
  <c r="AI73" i="11"/>
  <c r="AI74" i="11" s="1"/>
  <c r="AA73" i="11"/>
  <c r="AA74" i="11" s="1"/>
  <c r="P73" i="11"/>
  <c r="P74" i="11" s="1"/>
  <c r="AD73" i="11"/>
  <c r="E70" i="11"/>
  <c r="E71" i="11" s="1"/>
  <c r="F48" i="10" s="1"/>
  <c r="AD71" i="11"/>
  <c r="AG73" i="11"/>
  <c r="AG74" i="11" s="1"/>
  <c r="AJ73" i="11"/>
  <c r="AJ74" i="11" s="1"/>
  <c r="R73" i="11"/>
  <c r="O73" i="11"/>
  <c r="O74" i="11" s="1"/>
  <c r="K73" i="11"/>
  <c r="K74" i="11" s="1"/>
  <c r="AN73" i="11"/>
  <c r="AN74" i="11" s="1"/>
  <c r="Z73" i="11"/>
  <c r="Z74" i="11" s="1"/>
  <c r="X73" i="11"/>
  <c r="X74" i="11" s="1"/>
  <c r="T73" i="11"/>
  <c r="T74" i="11" s="1"/>
  <c r="Q73" i="11"/>
  <c r="Q74" i="11" s="1"/>
  <c r="C70" i="11"/>
  <c r="C71" i="11" s="1"/>
  <c r="D48" i="10" s="1"/>
  <c r="F71" i="11"/>
  <c r="L60" i="5"/>
  <c r="F21" i="10" s="1"/>
  <c r="G21" i="10" s="1"/>
  <c r="M45" i="5"/>
  <c r="K95" i="4"/>
  <c r="I95" i="4"/>
  <c r="G73" i="11" l="1"/>
  <c r="G74" i="11" s="1"/>
  <c r="F73" i="11"/>
  <c r="F74" i="11" s="1"/>
  <c r="S73" i="11"/>
  <c r="S74" i="11" s="1"/>
  <c r="R74" i="11"/>
  <c r="AE73" i="11"/>
  <c r="AE74" i="11" s="1"/>
  <c r="AD74" i="11"/>
  <c r="L61" i="5"/>
  <c r="M60" i="5"/>
  <c r="E139" i="4"/>
  <c r="D138" i="4"/>
  <c r="G138" i="4" s="1"/>
  <c r="D137" i="4"/>
  <c r="D136" i="4"/>
  <c r="G136" i="4" s="1"/>
  <c r="K131" i="4"/>
  <c r="I131" i="4"/>
  <c r="G131" i="4"/>
  <c r="E115" i="4"/>
  <c r="F115" i="4" s="1"/>
  <c r="F113" i="4"/>
  <c r="D96" i="4"/>
  <c r="F72" i="4"/>
  <c r="E71" i="4"/>
  <c r="E138" i="4" s="1"/>
  <c r="I138" i="4" s="1"/>
  <c r="E70" i="4"/>
  <c r="E69" i="4"/>
  <c r="E136" i="4" s="1"/>
  <c r="I136" i="4" s="1"/>
  <c r="E74" i="11" l="1"/>
  <c r="F49" i="10" s="1"/>
  <c r="F51" i="10" s="1"/>
  <c r="F54" i="10" s="1"/>
  <c r="C74" i="11"/>
  <c r="D49" i="10" s="1"/>
  <c r="D51" i="10" s="1"/>
  <c r="D54" i="10" s="1"/>
  <c r="F75" i="11"/>
  <c r="G75" i="11" s="1"/>
  <c r="H75" i="11" s="1"/>
  <c r="I75" i="11" s="1"/>
  <c r="J75" i="11" s="1"/>
  <c r="K75" i="11" s="1"/>
  <c r="L75" i="11" s="1"/>
  <c r="M75" i="11" s="1"/>
  <c r="N75" i="11" s="1"/>
  <c r="O75" i="11" s="1"/>
  <c r="P75" i="11" s="1"/>
  <c r="Q75" i="11" s="1"/>
  <c r="D74" i="11"/>
  <c r="E49" i="10" s="1"/>
  <c r="E51" i="10" s="1"/>
  <c r="E54" i="10" s="1"/>
  <c r="M61" i="5"/>
  <c r="F22" i="10"/>
  <c r="M135" i="5"/>
  <c r="M136" i="5"/>
  <c r="M141" i="5"/>
  <c r="M146" i="5"/>
  <c r="M142" i="5"/>
  <c r="M139" i="5"/>
  <c r="M138" i="5"/>
  <c r="M137" i="5"/>
  <c r="M143" i="5"/>
  <c r="L62" i="5"/>
  <c r="M62" i="5" s="1"/>
  <c r="E137" i="4"/>
  <c r="I137" i="4" s="1"/>
  <c r="F139" i="4"/>
  <c r="K139" i="4" s="1"/>
  <c r="F69" i="4"/>
  <c r="F71" i="4"/>
  <c r="F70" i="4"/>
  <c r="D125" i="4"/>
  <c r="D130" i="4" s="1"/>
  <c r="D134" i="4"/>
  <c r="G134" i="4" s="1"/>
  <c r="D132" i="4"/>
  <c r="C75" i="11" l="1"/>
  <c r="R75" i="11"/>
  <c r="S75" i="11" s="1"/>
  <c r="T75" i="11" s="1"/>
  <c r="U75" i="11" s="1"/>
  <c r="V75" i="11" s="1"/>
  <c r="W75" i="11" s="1"/>
  <c r="X75" i="11" s="1"/>
  <c r="Y75" i="11" s="1"/>
  <c r="Z75" i="11" s="1"/>
  <c r="AA75" i="11" s="1"/>
  <c r="AB75" i="11" s="1"/>
  <c r="AC75" i="11" s="1"/>
  <c r="F23" i="10"/>
  <c r="G22" i="10"/>
  <c r="G23" i="10" s="1"/>
  <c r="L63" i="5"/>
  <c r="F137" i="4"/>
  <c r="K137" i="4" s="1"/>
  <c r="F138" i="4"/>
  <c r="K138" i="4" s="1"/>
  <c r="F136" i="4"/>
  <c r="E65" i="4"/>
  <c r="D133" i="4"/>
  <c r="D75" i="11" l="1"/>
  <c r="AD75" i="11"/>
  <c r="AE75" i="11" s="1"/>
  <c r="AF75" i="11" s="1"/>
  <c r="AG75" i="11" s="1"/>
  <c r="AH75" i="11" s="1"/>
  <c r="AI75" i="11" s="1"/>
  <c r="AJ75" i="11" s="1"/>
  <c r="AK75" i="11" s="1"/>
  <c r="AL75" i="11" s="1"/>
  <c r="AM75" i="11" s="1"/>
  <c r="AN75" i="11" s="1"/>
  <c r="AO75" i="11" s="1"/>
  <c r="E75" i="11" s="1"/>
  <c r="M63" i="5"/>
  <c r="G7" i="4"/>
  <c r="K101" i="4" l="1"/>
  <c r="K102" i="4"/>
  <c r="I101" i="4"/>
  <c r="I102" i="4"/>
  <c r="G99" i="4"/>
  <c r="G100" i="4"/>
  <c r="G101" i="4"/>
  <c r="G102" i="4"/>
  <c r="K136" i="4" l="1"/>
  <c r="M101" i="4" l="1"/>
  <c r="M102" i="4"/>
  <c r="G108" i="4" l="1"/>
  <c r="G96" i="4"/>
  <c r="G130" i="4"/>
  <c r="M55" i="4" l="1"/>
  <c r="E134" i="4" l="1"/>
  <c r="I134" i="4" s="1"/>
  <c r="G133" i="4"/>
  <c r="E133" i="4"/>
  <c r="I133" i="4" s="1"/>
  <c r="E132" i="4"/>
  <c r="F112" i="4"/>
  <c r="D102" i="4"/>
  <c r="E102" i="4" s="1"/>
  <c r="D101" i="4"/>
  <c r="E101" i="4" s="1"/>
  <c r="D100" i="4"/>
  <c r="E100" i="4" s="1"/>
  <c r="D99" i="4"/>
  <c r="E99" i="4" s="1"/>
  <c r="D98" i="4"/>
  <c r="E98" i="4" s="1"/>
  <c r="D97" i="4"/>
  <c r="E97" i="4" s="1"/>
  <c r="K90" i="4"/>
  <c r="I90" i="4"/>
  <c r="G90" i="4"/>
  <c r="K89" i="4"/>
  <c r="I89" i="4"/>
  <c r="G89" i="4"/>
  <c r="K88" i="4"/>
  <c r="I88" i="4"/>
  <c r="G88" i="4"/>
  <c r="K87" i="4"/>
  <c r="I87" i="4"/>
  <c r="G87" i="4"/>
  <c r="K86" i="4"/>
  <c r="I86" i="4"/>
  <c r="G86" i="4"/>
  <c r="K76" i="4"/>
  <c r="I76" i="4"/>
  <c r="G76" i="4"/>
  <c r="K75" i="4"/>
  <c r="I75" i="4"/>
  <c r="G75" i="4"/>
  <c r="K74" i="4"/>
  <c r="I74" i="4"/>
  <c r="G74" i="4"/>
  <c r="E66" i="4"/>
  <c r="F66" i="4" s="1"/>
  <c r="F65" i="4"/>
  <c r="E64" i="4"/>
  <c r="E63" i="4"/>
  <c r="G62" i="4"/>
  <c r="G49" i="4"/>
  <c r="G46" i="4"/>
  <c r="G43" i="4"/>
  <c r="D37" i="4"/>
  <c r="E37" i="4" s="1"/>
  <c r="D36" i="4"/>
  <c r="E36" i="4" s="1"/>
  <c r="D35" i="4"/>
  <c r="E35" i="4" s="1"/>
  <c r="D34" i="4"/>
  <c r="E34" i="4" s="1"/>
  <c r="D33" i="4"/>
  <c r="E33" i="4" s="1"/>
  <c r="D32" i="4"/>
  <c r="E32" i="4" s="1"/>
  <c r="D31" i="4"/>
  <c r="E31" i="4" s="1"/>
  <c r="D30" i="4"/>
  <c r="E30" i="4" s="1"/>
  <c r="D29" i="4"/>
  <c r="E29" i="4" s="1"/>
  <c r="D28" i="4"/>
  <c r="E28" i="4" s="1"/>
  <c r="D27" i="4"/>
  <c r="E27" i="4" s="1"/>
  <c r="D25" i="4"/>
  <c r="E25" i="4" s="1"/>
  <c r="D24" i="4"/>
  <c r="E24" i="4" s="1"/>
  <c r="D23" i="4"/>
  <c r="E23" i="4" s="1"/>
  <c r="D22" i="4"/>
  <c r="E22" i="4" s="1"/>
  <c r="D21" i="4"/>
  <c r="E21" i="4" s="1"/>
  <c r="D20" i="4"/>
  <c r="E20" i="4" s="1"/>
  <c r="D19" i="4"/>
  <c r="E19" i="4" s="1"/>
  <c r="D18" i="4"/>
  <c r="E18" i="4" s="1"/>
  <c r="D17" i="4"/>
  <c r="E17" i="4" s="1"/>
  <c r="D16" i="4"/>
  <c r="E16" i="4" s="1"/>
  <c r="I14" i="4"/>
  <c r="K14" i="4" s="1"/>
  <c r="G11" i="4" l="1"/>
  <c r="E125" i="4"/>
  <c r="E130" i="4" s="1"/>
  <c r="F64" i="4"/>
  <c r="M62" i="4"/>
  <c r="F63" i="4"/>
  <c r="F132" i="4"/>
  <c r="K132" i="4" s="1"/>
  <c r="I132" i="4"/>
  <c r="I7" i="4"/>
  <c r="I8" i="4"/>
  <c r="G9" i="4"/>
  <c r="I97" i="4"/>
  <c r="M75" i="4"/>
  <c r="M87" i="4"/>
  <c r="G8" i="4"/>
  <c r="G65" i="4" s="1"/>
  <c r="M76" i="4"/>
  <c r="K91" i="4"/>
  <c r="M88" i="4"/>
  <c r="F134" i="4"/>
  <c r="K134" i="4" s="1"/>
  <c r="I108" i="4"/>
  <c r="I96" i="4"/>
  <c r="G97" i="4" s="1"/>
  <c r="I130" i="4"/>
  <c r="I49" i="4"/>
  <c r="K49" i="4" s="1"/>
  <c r="I91" i="4"/>
  <c r="M89" i="4"/>
  <c r="M74" i="4"/>
  <c r="G91" i="4"/>
  <c r="M86" i="4"/>
  <c r="M90" i="4"/>
  <c r="I43" i="4"/>
  <c r="I46" i="4"/>
  <c r="K46" i="4" s="1"/>
  <c r="F133" i="4"/>
  <c r="K133" i="4" s="1"/>
  <c r="G120" i="4"/>
  <c r="G121" i="4" s="1"/>
  <c r="I65" i="4" l="1"/>
  <c r="G10" i="4"/>
  <c r="G38" i="4"/>
  <c r="G98" i="4"/>
  <c r="G103" i="4" s="1"/>
  <c r="D128" i="4"/>
  <c r="M46" i="4"/>
  <c r="G77" i="4"/>
  <c r="M91" i="4"/>
  <c r="M49" i="4"/>
  <c r="K43" i="4"/>
  <c r="G68" i="4" l="1"/>
  <c r="G67" i="4"/>
  <c r="I141" i="4"/>
  <c r="K141" i="4"/>
  <c r="K142" i="4" s="1"/>
  <c r="I139" i="4"/>
  <c r="G137" i="4"/>
  <c r="G132" i="4"/>
  <c r="I69" i="4"/>
  <c r="G39" i="4"/>
  <c r="G40" i="4" s="1"/>
  <c r="G69" i="4"/>
  <c r="M43" i="4"/>
  <c r="I73" i="4"/>
  <c r="I72" i="4"/>
  <c r="G53" i="4"/>
  <c r="G70" i="4"/>
  <c r="G72" i="4"/>
  <c r="G139" i="4"/>
  <c r="G54" i="4"/>
  <c r="G44" i="4"/>
  <c r="G50" i="4"/>
  <c r="G52" i="4"/>
  <c r="G45" i="4"/>
  <c r="G48" i="4"/>
  <c r="G104" i="4"/>
  <c r="G105" i="4" s="1"/>
  <c r="G122" i="4" s="1"/>
  <c r="G71" i="4"/>
  <c r="G64" i="4"/>
  <c r="G51" i="4"/>
  <c r="G66" i="4"/>
  <c r="G63" i="4"/>
  <c r="G47" i="4"/>
  <c r="G142" i="4" l="1"/>
  <c r="G79" i="4"/>
  <c r="G80" i="4" s="1"/>
  <c r="I142" i="4"/>
  <c r="G56" i="4"/>
  <c r="G57" i="4" l="1"/>
  <c r="K143" i="4"/>
  <c r="K144" i="4" s="1"/>
  <c r="I143" i="4"/>
  <c r="I144" i="4" s="1"/>
  <c r="G143" i="4"/>
  <c r="M142" i="4"/>
  <c r="G81" i="4"/>
  <c r="G58" i="4" l="1"/>
  <c r="G59" i="4" s="1"/>
  <c r="G84" i="4" s="1"/>
  <c r="G123" i="4" s="1"/>
  <c r="G144" i="4"/>
  <c r="M143" i="4"/>
  <c r="G145" i="4" l="1"/>
  <c r="M144" i="4"/>
  <c r="G92" i="4" l="1"/>
  <c r="H137" i="4" l="1"/>
  <c r="H132" i="4"/>
  <c r="H121" i="4"/>
  <c r="H117" i="4"/>
  <c r="H113" i="4"/>
  <c r="H109" i="4"/>
  <c r="H102" i="4"/>
  <c r="H98" i="4"/>
  <c r="H79" i="4"/>
  <c r="H74" i="4"/>
  <c r="H70" i="4"/>
  <c r="H66" i="4"/>
  <c r="H62" i="4"/>
  <c r="H56" i="4"/>
  <c r="H52" i="4"/>
  <c r="H48" i="4"/>
  <c r="H44" i="4"/>
  <c r="H19" i="4"/>
  <c r="H23" i="4"/>
  <c r="H27" i="4"/>
  <c r="H31" i="4"/>
  <c r="H35" i="4"/>
  <c r="H39" i="4"/>
  <c r="H88" i="4"/>
  <c r="H92" i="4"/>
  <c r="H119" i="4"/>
  <c r="H115" i="4"/>
  <c r="H100" i="4"/>
  <c r="H76" i="4"/>
  <c r="H72" i="4"/>
  <c r="H64" i="4"/>
  <c r="H54" i="4"/>
  <c r="H46" i="4"/>
  <c r="H21" i="4"/>
  <c r="H25" i="4"/>
  <c r="H33" i="4"/>
  <c r="H86" i="4"/>
  <c r="H138" i="4"/>
  <c r="H133" i="4"/>
  <c r="H118" i="4"/>
  <c r="H110" i="4"/>
  <c r="H103" i="4"/>
  <c r="H80" i="4"/>
  <c r="H71" i="4"/>
  <c r="H67" i="4"/>
  <c r="H57" i="4"/>
  <c r="H49" i="4"/>
  <c r="H18" i="4"/>
  <c r="H26" i="4"/>
  <c r="H34" i="4"/>
  <c r="H87" i="4"/>
  <c r="H145" i="4"/>
  <c r="H141" i="4"/>
  <c r="H131" i="4"/>
  <c r="H120" i="4"/>
  <c r="H116" i="4"/>
  <c r="H112" i="4"/>
  <c r="H105" i="4"/>
  <c r="H101" i="4"/>
  <c r="H97" i="4"/>
  <c r="H77" i="4"/>
  <c r="H73" i="4"/>
  <c r="H69" i="4"/>
  <c r="H65" i="4"/>
  <c r="H59" i="4"/>
  <c r="H55" i="4"/>
  <c r="H51" i="4"/>
  <c r="H47" i="4"/>
  <c r="H43" i="4"/>
  <c r="H20" i="4"/>
  <c r="H24" i="4"/>
  <c r="H28" i="4"/>
  <c r="H32" i="4"/>
  <c r="H36" i="4"/>
  <c r="H40" i="4"/>
  <c r="H89" i="4"/>
  <c r="H16" i="4"/>
  <c r="H84" i="4"/>
  <c r="H139" i="4"/>
  <c r="H123" i="4"/>
  <c r="H111" i="4"/>
  <c r="H104" i="4"/>
  <c r="H81" i="4"/>
  <c r="H68" i="4"/>
  <c r="H58" i="4"/>
  <c r="H50" i="4"/>
  <c r="H17" i="4"/>
  <c r="H29" i="4"/>
  <c r="H37" i="4"/>
  <c r="H90" i="4"/>
  <c r="H122" i="4"/>
  <c r="H114" i="4"/>
  <c r="H99" i="4"/>
  <c r="H75" i="4"/>
  <c r="H63" i="4"/>
  <c r="H53" i="4"/>
  <c r="H45" i="4"/>
  <c r="H22" i="4"/>
  <c r="H30" i="4"/>
  <c r="H38" i="4"/>
  <c r="H91" i="4"/>
  <c r="H136" i="4"/>
  <c r="H134" i="4"/>
  <c r="H142" i="4"/>
  <c r="H143" i="4"/>
  <c r="H144" i="4"/>
  <c r="I98" i="4"/>
  <c r="K98" i="4"/>
  <c r="K96" i="4"/>
  <c r="K108" i="4"/>
  <c r="K7" i="4"/>
  <c r="M7" i="4" s="1"/>
  <c r="K130" i="4"/>
  <c r="M22" i="4"/>
  <c r="M20" i="4"/>
  <c r="I100" i="4"/>
  <c r="F125" i="4"/>
  <c r="F130" i="4" s="1"/>
  <c r="K99" i="4"/>
  <c r="K100" i="4"/>
  <c r="M19" i="4"/>
  <c r="K97" i="4"/>
  <c r="M97" i="4" s="1"/>
  <c r="K8" i="4"/>
  <c r="I11" i="4"/>
  <c r="M23" i="4"/>
  <c r="M31" i="4"/>
  <c r="M26" i="4"/>
  <c r="I99" i="4"/>
  <c r="K11" i="4" l="1"/>
  <c r="K69" i="4"/>
  <c r="M69" i="4" s="1"/>
  <c r="K65" i="4"/>
  <c r="M65" i="4" s="1"/>
  <c r="M33" i="4"/>
  <c r="I10" i="4"/>
  <c r="I51" i="4" s="1"/>
  <c r="M27" i="4"/>
  <c r="I9" i="4"/>
  <c r="M35" i="4"/>
  <c r="M17" i="4"/>
  <c r="K9" i="4"/>
  <c r="M36" i="4"/>
  <c r="M32" i="4"/>
  <c r="M18" i="4"/>
  <c r="K10" i="4"/>
  <c r="M100" i="4"/>
  <c r="I103" i="4"/>
  <c r="I104" i="4" s="1"/>
  <c r="M98" i="4"/>
  <c r="K103" i="4"/>
  <c r="K104" i="4" s="1"/>
  <c r="M34" i="4"/>
  <c r="M37" i="4"/>
  <c r="M28" i="4"/>
  <c r="M29" i="4"/>
  <c r="M30" i="4"/>
  <c r="M25" i="4"/>
  <c r="K38" i="4"/>
  <c r="M16" i="4"/>
  <c r="M99" i="4"/>
  <c r="M21" i="4"/>
  <c r="M24" i="4"/>
  <c r="I38" i="4"/>
  <c r="O27" i="4" l="1"/>
  <c r="O28" i="4"/>
  <c r="I53" i="4"/>
  <c r="I48" i="4"/>
  <c r="I63" i="4"/>
  <c r="I47" i="4"/>
  <c r="I45" i="4"/>
  <c r="K71" i="4"/>
  <c r="K64" i="4"/>
  <c r="K67" i="4"/>
  <c r="K70" i="4"/>
  <c r="K66" i="4"/>
  <c r="K68" i="4"/>
  <c r="K52" i="4"/>
  <c r="K50" i="4"/>
  <c r="K54" i="4"/>
  <c r="K77" i="4"/>
  <c r="K44" i="4"/>
  <c r="K53" i="4"/>
  <c r="M53" i="4" s="1"/>
  <c r="K45" i="4"/>
  <c r="K48" i="4"/>
  <c r="K47" i="4"/>
  <c r="M47" i="4" s="1"/>
  <c r="K63" i="4"/>
  <c r="I71" i="4"/>
  <c r="K72" i="4"/>
  <c r="M72" i="4" s="1"/>
  <c r="I64" i="4"/>
  <c r="I77" i="4"/>
  <c r="I54" i="4"/>
  <c r="I67" i="4"/>
  <c r="I52" i="4"/>
  <c r="K73" i="4"/>
  <c r="M73" i="4" s="1"/>
  <c r="I50" i="4"/>
  <c r="I119" i="4" s="1"/>
  <c r="I68" i="4"/>
  <c r="M68" i="4" s="1"/>
  <c r="I70" i="4"/>
  <c r="I44" i="4"/>
  <c r="I66" i="4"/>
  <c r="K51" i="4"/>
  <c r="K105" i="4"/>
  <c r="M103" i="4"/>
  <c r="M104" i="4"/>
  <c r="I39" i="4"/>
  <c r="I40" i="4" s="1"/>
  <c r="M38" i="4"/>
  <c r="K39" i="4"/>
  <c r="K40" i="4" s="1"/>
  <c r="I105" i="4"/>
  <c r="M64" i="4" l="1"/>
  <c r="I120" i="4"/>
  <c r="M51" i="4"/>
  <c r="M48" i="4"/>
  <c r="M50" i="4"/>
  <c r="M70" i="4"/>
  <c r="M63" i="4"/>
  <c r="M67" i="4"/>
  <c r="M45" i="4"/>
  <c r="M66" i="4"/>
  <c r="M71" i="4"/>
  <c r="M77" i="4"/>
  <c r="I79" i="4"/>
  <c r="M54" i="4"/>
  <c r="I56" i="4"/>
  <c r="M44" i="4"/>
  <c r="K79" i="4"/>
  <c r="K56" i="4"/>
  <c r="M52" i="4"/>
  <c r="M39" i="4"/>
  <c r="M105" i="4"/>
  <c r="M40" i="4"/>
  <c r="I121" i="4" l="1"/>
  <c r="M110" i="4"/>
  <c r="M119" i="4" s="1"/>
  <c r="K119" i="4"/>
  <c r="K80" i="4"/>
  <c r="I80" i="4"/>
  <c r="I81" i="4" s="1"/>
  <c r="M79" i="4"/>
  <c r="I57" i="4"/>
  <c r="I58" i="4" s="1"/>
  <c r="M56" i="4"/>
  <c r="K57" i="4"/>
  <c r="K58" i="4" s="1"/>
  <c r="K59" i="4" s="1"/>
  <c r="K120" i="4" l="1"/>
  <c r="K121" i="4" s="1"/>
  <c r="I122" i="4"/>
  <c r="M80" i="4"/>
  <c r="M58" i="4"/>
  <c r="I59" i="4"/>
  <c r="I84" i="4" s="1"/>
  <c r="M57" i="4"/>
  <c r="K81" i="4"/>
  <c r="M81" i="4" s="1"/>
  <c r="I123" i="4" l="1"/>
  <c r="I145" i="4" s="1"/>
  <c r="K84" i="4"/>
  <c r="M120" i="4"/>
  <c r="M121" i="4" s="1"/>
  <c r="M122" i="4" s="1"/>
  <c r="K122" i="4"/>
  <c r="M59" i="4"/>
  <c r="K92" i="4" l="1"/>
  <c r="K123" i="4"/>
  <c r="K145" i="4" s="1"/>
  <c r="M145" i="4" s="1"/>
  <c r="M84" i="4"/>
  <c r="M123" i="4" s="1"/>
  <c r="I92" i="4"/>
  <c r="L123" i="4" l="1"/>
  <c r="M92" i="4"/>
  <c r="J123" i="4" l="1"/>
  <c r="L144" i="4"/>
  <c r="L139" i="4"/>
  <c r="L134" i="4"/>
  <c r="L115" i="4"/>
  <c r="L104" i="4"/>
  <c r="L100" i="4"/>
  <c r="L92" i="4"/>
  <c r="L88" i="4"/>
  <c r="L81" i="4"/>
  <c r="L76" i="4"/>
  <c r="L72" i="4"/>
  <c r="L68" i="4"/>
  <c r="L64" i="4"/>
  <c r="L58" i="4"/>
  <c r="L54" i="4"/>
  <c r="L50" i="4"/>
  <c r="L46" i="4"/>
  <c r="L17" i="4"/>
  <c r="L21" i="4"/>
  <c r="L25" i="4"/>
  <c r="L29" i="4"/>
  <c r="L33" i="4"/>
  <c r="L37" i="4"/>
  <c r="L16" i="4"/>
  <c r="L141" i="4"/>
  <c r="L105" i="4"/>
  <c r="L89" i="4"/>
  <c r="L73" i="4"/>
  <c r="L59" i="4"/>
  <c r="L51" i="4"/>
  <c r="L24" i="4"/>
  <c r="L32" i="4"/>
  <c r="L143" i="4"/>
  <c r="L138" i="4"/>
  <c r="L133" i="4"/>
  <c r="L118" i="4"/>
  <c r="L114" i="4"/>
  <c r="L110" i="4"/>
  <c r="L103" i="4"/>
  <c r="L99" i="4"/>
  <c r="L91" i="4"/>
  <c r="L87" i="4"/>
  <c r="L80" i="4"/>
  <c r="L75" i="4"/>
  <c r="L71" i="4"/>
  <c r="L67" i="4"/>
  <c r="L63" i="4"/>
  <c r="L57" i="4"/>
  <c r="L53" i="4"/>
  <c r="L49" i="4"/>
  <c r="L45" i="4"/>
  <c r="L18" i="4"/>
  <c r="L22" i="4"/>
  <c r="L26" i="4"/>
  <c r="L30" i="4"/>
  <c r="L34" i="4"/>
  <c r="L38" i="4"/>
  <c r="L145" i="4"/>
  <c r="L131" i="4"/>
  <c r="L112" i="4"/>
  <c r="L97" i="4"/>
  <c r="L77" i="4"/>
  <c r="L65" i="4"/>
  <c r="L47" i="4"/>
  <c r="L20" i="4"/>
  <c r="L36" i="4"/>
  <c r="L142" i="4"/>
  <c r="L137" i="4"/>
  <c r="L132" i="4"/>
  <c r="L117" i="4"/>
  <c r="L113" i="4"/>
  <c r="L109" i="4"/>
  <c r="L102" i="4"/>
  <c r="L98" i="4"/>
  <c r="L90" i="4"/>
  <c r="L86" i="4"/>
  <c r="L79" i="4"/>
  <c r="L74" i="4"/>
  <c r="L70" i="4"/>
  <c r="L66" i="4"/>
  <c r="L62" i="4"/>
  <c r="L56" i="4"/>
  <c r="L52" i="4"/>
  <c r="L48" i="4"/>
  <c r="L44" i="4"/>
  <c r="L19" i="4"/>
  <c r="L23" i="4"/>
  <c r="L27" i="4"/>
  <c r="L31" i="4"/>
  <c r="L35" i="4"/>
  <c r="L39" i="4"/>
  <c r="L136" i="4"/>
  <c r="L116" i="4"/>
  <c r="L101" i="4"/>
  <c r="L84" i="4"/>
  <c r="L69" i="4"/>
  <c r="L55" i="4"/>
  <c r="L43" i="4"/>
  <c r="L28" i="4"/>
  <c r="L40" i="4"/>
  <c r="L111" i="4"/>
  <c r="L119" i="4"/>
  <c r="L121" i="4"/>
  <c r="L120" i="4"/>
  <c r="L122" i="4"/>
  <c r="J145" i="4" l="1"/>
  <c r="J141" i="4"/>
  <c r="M141" i="4" s="1"/>
  <c r="J136" i="4"/>
  <c r="M136" i="4" s="1"/>
  <c r="J131" i="4"/>
  <c r="M131" i="4" s="1"/>
  <c r="J116" i="4"/>
  <c r="J112" i="4"/>
  <c r="J105" i="4"/>
  <c r="J101" i="4"/>
  <c r="J97" i="4"/>
  <c r="J89" i="4"/>
  <c r="J84" i="4"/>
  <c r="J77" i="4"/>
  <c r="J73" i="4"/>
  <c r="J69" i="4"/>
  <c r="J65" i="4"/>
  <c r="J59" i="4"/>
  <c r="J54" i="4"/>
  <c r="J50" i="4"/>
  <c r="J46" i="4"/>
  <c r="J20" i="4"/>
  <c r="J24" i="4"/>
  <c r="J28" i="4"/>
  <c r="J32" i="4"/>
  <c r="J36" i="4"/>
  <c r="J40" i="4"/>
  <c r="J142" i="4"/>
  <c r="J117" i="4"/>
  <c r="J98" i="4"/>
  <c r="J79" i="4"/>
  <c r="J66" i="4"/>
  <c r="J51" i="4"/>
  <c r="J19" i="4"/>
  <c r="J31" i="4"/>
  <c r="J144" i="4"/>
  <c r="J139" i="4"/>
  <c r="M139" i="4" s="1"/>
  <c r="J134" i="4"/>
  <c r="M134" i="4" s="1"/>
  <c r="J115" i="4"/>
  <c r="J104" i="4"/>
  <c r="J100" i="4"/>
  <c r="J92" i="4"/>
  <c r="J88" i="4"/>
  <c r="J81" i="4"/>
  <c r="J76" i="4"/>
  <c r="J72" i="4"/>
  <c r="J68" i="4"/>
  <c r="J64" i="4"/>
  <c r="J58" i="4"/>
  <c r="J53" i="4"/>
  <c r="J49" i="4"/>
  <c r="J45" i="4"/>
  <c r="J17" i="4"/>
  <c r="J21" i="4"/>
  <c r="J25" i="4"/>
  <c r="J29" i="4"/>
  <c r="J33" i="4"/>
  <c r="J37" i="4"/>
  <c r="J16" i="4"/>
  <c r="J132" i="4"/>
  <c r="M132" i="4" s="1"/>
  <c r="J113" i="4"/>
  <c r="J102" i="4"/>
  <c r="J90" i="4"/>
  <c r="J74" i="4"/>
  <c r="J62" i="4"/>
  <c r="J47" i="4"/>
  <c r="J23" i="4"/>
  <c r="J39" i="4"/>
  <c r="J143" i="4"/>
  <c r="J138" i="4"/>
  <c r="M138" i="4" s="1"/>
  <c r="J133" i="4"/>
  <c r="M133" i="4" s="1"/>
  <c r="J118" i="4"/>
  <c r="J114" i="4"/>
  <c r="J110" i="4"/>
  <c r="J103" i="4"/>
  <c r="J99" i="4"/>
  <c r="J91" i="4"/>
  <c r="J87" i="4"/>
  <c r="J80" i="4"/>
  <c r="J75" i="4"/>
  <c r="J71" i="4"/>
  <c r="J67" i="4"/>
  <c r="J63" i="4"/>
  <c r="J57" i="4"/>
  <c r="J52" i="4"/>
  <c r="J48" i="4"/>
  <c r="J44" i="4"/>
  <c r="J18" i="4"/>
  <c r="J22" i="4"/>
  <c r="J26" i="4"/>
  <c r="J30" i="4"/>
  <c r="J34" i="4"/>
  <c r="J38" i="4"/>
  <c r="J137" i="4"/>
  <c r="M137" i="4" s="1"/>
  <c r="J109" i="4"/>
  <c r="J86" i="4"/>
  <c r="J70" i="4"/>
  <c r="J56" i="4"/>
  <c r="J43" i="4"/>
  <c r="J27" i="4"/>
  <c r="J35" i="4"/>
  <c r="J111" i="4"/>
  <c r="J119" i="4"/>
  <c r="J120" i="4"/>
  <c r="J121" i="4"/>
  <c r="J122" i="4"/>
  <c r="K85" i="5" l="1"/>
  <c r="E25" i="10" s="1"/>
  <c r="J85" i="5"/>
  <c r="D25" i="10" s="1"/>
  <c r="L85" i="5"/>
  <c r="F25" i="10" s="1"/>
  <c r="M67" i="5"/>
  <c r="G25" i="10" l="1"/>
  <c r="M85" i="5"/>
  <c r="J86" i="5"/>
  <c r="D26" i="10" s="1"/>
  <c r="D27" i="10" s="1"/>
  <c r="L86" i="5"/>
  <c r="F26" i="10" s="1"/>
  <c r="K86" i="5"/>
  <c r="E26" i="10" s="1"/>
  <c r="E27" i="10" s="1"/>
  <c r="M68" i="5"/>
  <c r="E29" i="10" l="1"/>
  <c r="F27" i="10"/>
  <c r="D29" i="10"/>
  <c r="G26" i="10"/>
  <c r="G27" i="10" s="1"/>
  <c r="G29" i="10" s="1"/>
  <c r="G37" i="10" s="1"/>
  <c r="J87" i="5"/>
  <c r="J88" i="5" s="1"/>
  <c r="L87" i="5"/>
  <c r="M86" i="5"/>
  <c r="K87" i="5"/>
  <c r="F29" i="10" l="1"/>
  <c r="F37" i="10" s="1"/>
  <c r="K27" i="10" s="1"/>
  <c r="E37" i="10"/>
  <c r="J29" i="10" s="1"/>
  <c r="G43" i="10"/>
  <c r="D37" i="10"/>
  <c r="I29" i="10" s="1"/>
  <c r="K88" i="5"/>
  <c r="K126" i="5" s="1"/>
  <c r="L88" i="5"/>
  <c r="L126" i="5" s="1"/>
  <c r="M87" i="5"/>
  <c r="J126" i="5"/>
  <c r="J97" i="5"/>
  <c r="J22" i="10" l="1"/>
  <c r="J34" i="10"/>
  <c r="J35" i="10"/>
  <c r="J16" i="10"/>
  <c r="J19" i="10"/>
  <c r="J31" i="10"/>
  <c r="J17" i="10"/>
  <c r="E43" i="10"/>
  <c r="J37" i="10"/>
  <c r="J23" i="10"/>
  <c r="J32" i="10"/>
  <c r="J18" i="10"/>
  <c r="J21" i="10"/>
  <c r="J33" i="10"/>
  <c r="J25" i="10"/>
  <c r="J27" i="10"/>
  <c r="J26" i="10"/>
  <c r="K29" i="10"/>
  <c r="K37" i="10"/>
  <c r="K23" i="10"/>
  <c r="K32" i="10"/>
  <c r="K34" i="10"/>
  <c r="K31" i="10"/>
  <c r="K22" i="10"/>
  <c r="K17" i="10"/>
  <c r="K33" i="10"/>
  <c r="K19" i="10"/>
  <c r="K21" i="10"/>
  <c r="K16" i="10"/>
  <c r="K18" i="10"/>
  <c r="K35" i="10"/>
  <c r="F43" i="10"/>
  <c r="K25" i="10"/>
  <c r="K26" i="10"/>
  <c r="I35" i="10"/>
  <c r="I18" i="10"/>
  <c r="I23" i="10"/>
  <c r="I34" i="10"/>
  <c r="I32" i="10"/>
  <c r="I21" i="10"/>
  <c r="I33" i="10"/>
  <c r="I17" i="10"/>
  <c r="I37" i="10"/>
  <c r="I22" i="10"/>
  <c r="I16" i="10"/>
  <c r="I19" i="10"/>
  <c r="I31" i="10"/>
  <c r="D43" i="10"/>
  <c r="I25" i="10"/>
  <c r="I27" i="10"/>
  <c r="I26" i="10"/>
  <c r="M88" i="5"/>
  <c r="M126" i="5" s="1"/>
  <c r="K97" i="5"/>
  <c r="K150" i="5"/>
  <c r="L97" i="5"/>
  <c r="L150" i="5"/>
  <c r="J150" i="5"/>
  <c r="Q80" i="5" l="1"/>
  <c r="Q145" i="5"/>
  <c r="P80" i="5"/>
  <c r="P145" i="5"/>
  <c r="O80" i="5"/>
  <c r="O145" i="5"/>
  <c r="Q54" i="5"/>
  <c r="Q51" i="5"/>
  <c r="Q53" i="5"/>
  <c r="Q52" i="5"/>
  <c r="P53" i="5"/>
  <c r="P54" i="5"/>
  <c r="P52" i="5"/>
  <c r="P51" i="5"/>
  <c r="O51" i="5"/>
  <c r="O54" i="5"/>
  <c r="O52" i="5"/>
  <c r="O53" i="5"/>
  <c r="Q126" i="5"/>
  <c r="P126" i="5"/>
  <c r="O126" i="5"/>
  <c r="Q97" i="5"/>
  <c r="M150" i="5"/>
  <c r="P88" i="5"/>
  <c r="M97" i="5"/>
  <c r="Q19" i="5"/>
  <c r="Q21" i="5"/>
  <c r="Q23" i="5"/>
  <c r="Q25" i="5"/>
  <c r="Q27" i="5"/>
  <c r="Q29" i="5"/>
  <c r="Q31" i="5"/>
  <c r="Q33" i="5"/>
  <c r="Q35" i="5"/>
  <c r="Q37" i="5"/>
  <c r="Q39" i="5"/>
  <c r="Q17" i="5"/>
  <c r="Q146" i="5"/>
  <c r="Q114" i="5"/>
  <c r="Q79" i="5"/>
  <c r="Q74" i="5"/>
  <c r="Q66" i="5"/>
  <c r="Q58" i="5"/>
  <c r="Q47" i="5"/>
  <c r="Q149" i="5"/>
  <c r="Q147" i="5"/>
  <c r="Q144" i="5"/>
  <c r="Q142" i="5"/>
  <c r="Q139" i="5"/>
  <c r="Q137" i="5"/>
  <c r="Q135" i="5"/>
  <c r="Q125" i="5"/>
  <c r="Q123" i="5"/>
  <c r="Q121" i="5"/>
  <c r="Q119" i="5"/>
  <c r="Q117" i="5"/>
  <c r="Q115" i="5"/>
  <c r="Q111" i="5"/>
  <c r="Q109" i="5"/>
  <c r="Q107" i="5"/>
  <c r="Q105" i="5"/>
  <c r="Q103" i="5"/>
  <c r="Q96" i="5"/>
  <c r="Q94" i="5"/>
  <c r="Q92" i="5"/>
  <c r="Q84" i="5"/>
  <c r="Q82" i="5"/>
  <c r="Q78" i="5"/>
  <c r="Q76" i="5"/>
  <c r="Q75" i="5"/>
  <c r="Q73" i="5"/>
  <c r="Q71" i="5"/>
  <c r="Q69" i="5"/>
  <c r="Q63" i="5"/>
  <c r="Q61" i="5"/>
  <c r="Q59" i="5"/>
  <c r="Q57" i="5"/>
  <c r="Q55" i="5"/>
  <c r="Q50" i="5"/>
  <c r="Q48" i="5"/>
  <c r="Q46" i="5"/>
  <c r="Q44" i="5"/>
  <c r="Q148" i="5"/>
  <c r="Q143" i="5"/>
  <c r="Q140" i="5"/>
  <c r="Q136" i="5"/>
  <c r="Q122" i="5"/>
  <c r="Q118" i="5"/>
  <c r="Q110" i="5"/>
  <c r="Q106" i="5"/>
  <c r="Q95" i="5"/>
  <c r="Q91" i="5"/>
  <c r="Q83" i="5"/>
  <c r="Q77" i="5"/>
  <c r="Q70" i="5"/>
  <c r="Q62" i="5"/>
  <c r="Q45" i="5"/>
  <c r="Q18" i="5"/>
  <c r="Q20" i="5"/>
  <c r="Q22" i="5"/>
  <c r="Q24" i="5"/>
  <c r="Q26" i="5"/>
  <c r="Q28" i="5"/>
  <c r="Q30" i="5"/>
  <c r="Q32" i="5"/>
  <c r="Q34" i="5"/>
  <c r="Q36" i="5"/>
  <c r="Q38" i="5"/>
  <c r="Q40" i="5"/>
  <c r="Q150" i="5"/>
  <c r="Q141" i="5"/>
  <c r="Q138" i="5"/>
  <c r="Q124" i="5"/>
  <c r="Q120" i="5"/>
  <c r="Q116" i="5"/>
  <c r="Q108" i="5"/>
  <c r="Q104" i="5"/>
  <c r="Q93" i="5"/>
  <c r="Q81" i="5"/>
  <c r="Q72" i="5"/>
  <c r="Q68" i="5"/>
  <c r="Q60" i="5"/>
  <c r="Q56" i="5"/>
  <c r="Q49" i="5"/>
  <c r="Q43" i="5"/>
  <c r="Q67" i="5"/>
  <c r="Q85" i="5"/>
  <c r="Q86" i="5"/>
  <c r="Q87" i="5"/>
  <c r="P150" i="5"/>
  <c r="P148" i="5"/>
  <c r="P146" i="5"/>
  <c r="P143" i="5"/>
  <c r="P141" i="5"/>
  <c r="P140" i="5"/>
  <c r="P138" i="5"/>
  <c r="P136" i="5"/>
  <c r="P124" i="5"/>
  <c r="P122" i="5"/>
  <c r="P120" i="5"/>
  <c r="P118" i="5"/>
  <c r="P116" i="5"/>
  <c r="P114" i="5"/>
  <c r="P110" i="5"/>
  <c r="P108" i="5"/>
  <c r="P106" i="5"/>
  <c r="P104" i="5"/>
  <c r="P95" i="5"/>
  <c r="P93" i="5"/>
  <c r="P91" i="5"/>
  <c r="P83" i="5"/>
  <c r="P81" i="5"/>
  <c r="P79" i="5"/>
  <c r="P77" i="5"/>
  <c r="P74" i="5"/>
  <c r="P72" i="5"/>
  <c r="P70" i="5"/>
  <c r="P68" i="5"/>
  <c r="P66" i="5"/>
  <c r="P62" i="5"/>
  <c r="P60" i="5"/>
  <c r="P58" i="5"/>
  <c r="P56" i="5"/>
  <c r="P49" i="5"/>
  <c r="P47" i="5"/>
  <c r="P45" i="5"/>
  <c r="P43" i="5"/>
  <c r="P21" i="5"/>
  <c r="P27" i="5"/>
  <c r="P33" i="5"/>
  <c r="P17" i="5"/>
  <c r="P18" i="5"/>
  <c r="P20" i="5"/>
  <c r="P22" i="5"/>
  <c r="P24" i="5"/>
  <c r="P26" i="5"/>
  <c r="P28" i="5"/>
  <c r="P30" i="5"/>
  <c r="P32" i="5"/>
  <c r="P34" i="5"/>
  <c r="P36" i="5"/>
  <c r="P38" i="5"/>
  <c r="P40" i="5"/>
  <c r="P19" i="5"/>
  <c r="P25" i="5"/>
  <c r="P31" i="5"/>
  <c r="P37" i="5"/>
  <c r="P149" i="5"/>
  <c r="P147" i="5"/>
  <c r="P144" i="5"/>
  <c r="P142" i="5"/>
  <c r="P139" i="5"/>
  <c r="P137" i="5"/>
  <c r="P135" i="5"/>
  <c r="P125" i="5"/>
  <c r="P123" i="5"/>
  <c r="P121" i="5"/>
  <c r="P119" i="5"/>
  <c r="P117" i="5"/>
  <c r="P115" i="5"/>
  <c r="P111" i="5"/>
  <c r="P109" i="5"/>
  <c r="P107" i="5"/>
  <c r="P105" i="5"/>
  <c r="P103" i="5"/>
  <c r="P96" i="5"/>
  <c r="P94" i="5"/>
  <c r="P92" i="5"/>
  <c r="P84" i="5"/>
  <c r="P82" i="5"/>
  <c r="P78" i="5"/>
  <c r="P76" i="5"/>
  <c r="P75" i="5"/>
  <c r="P73" i="5"/>
  <c r="P71" i="5"/>
  <c r="P69" i="5"/>
  <c r="P63" i="5"/>
  <c r="P61" i="5"/>
  <c r="P59" i="5"/>
  <c r="P57" i="5"/>
  <c r="P55" i="5"/>
  <c r="P50" i="5"/>
  <c r="P48" i="5"/>
  <c r="P46" i="5"/>
  <c r="P44" i="5"/>
  <c r="P23" i="5"/>
  <c r="P29" i="5"/>
  <c r="P35" i="5"/>
  <c r="P39" i="5"/>
  <c r="P67" i="5"/>
  <c r="P85" i="5"/>
  <c r="P86" i="5"/>
  <c r="P87" i="5"/>
  <c r="Q88" i="5"/>
  <c r="P97" i="5"/>
  <c r="O147" i="5"/>
  <c r="O142" i="5"/>
  <c r="O139" i="5"/>
  <c r="O135" i="5"/>
  <c r="O123" i="5"/>
  <c r="O119" i="5"/>
  <c r="O115" i="5"/>
  <c r="O109" i="5"/>
  <c r="O105" i="5"/>
  <c r="O96" i="5"/>
  <c r="O92" i="5"/>
  <c r="O82" i="5"/>
  <c r="O78" i="5"/>
  <c r="O71" i="5"/>
  <c r="O57" i="5"/>
  <c r="O46" i="5"/>
  <c r="O40" i="5"/>
  <c r="O148" i="5"/>
  <c r="O143" i="5"/>
  <c r="O140" i="5"/>
  <c r="O136" i="5"/>
  <c r="O124" i="5"/>
  <c r="O120" i="5"/>
  <c r="O116" i="5"/>
  <c r="O110" i="5"/>
  <c r="O106" i="5"/>
  <c r="O93" i="5"/>
  <c r="O83" i="5"/>
  <c r="O79" i="5"/>
  <c r="O72" i="5"/>
  <c r="O68" i="5"/>
  <c r="O62" i="5"/>
  <c r="O58" i="5"/>
  <c r="O47" i="5"/>
  <c r="O43" i="5"/>
  <c r="O19" i="5"/>
  <c r="O23" i="5"/>
  <c r="O27" i="5"/>
  <c r="O31" i="5"/>
  <c r="O35" i="5"/>
  <c r="O39" i="5"/>
  <c r="O17" i="5"/>
  <c r="O75" i="5"/>
  <c r="O28" i="5"/>
  <c r="O149" i="5"/>
  <c r="O144" i="5"/>
  <c r="O137" i="5"/>
  <c r="O125" i="5"/>
  <c r="O121" i="5"/>
  <c r="O117" i="5"/>
  <c r="O111" i="5"/>
  <c r="O107" i="5"/>
  <c r="O103" i="5"/>
  <c r="O94" i="5"/>
  <c r="O84" i="5"/>
  <c r="O76" i="5"/>
  <c r="O73" i="5"/>
  <c r="O69" i="5"/>
  <c r="O63" i="5"/>
  <c r="O59" i="5"/>
  <c r="O55" i="5"/>
  <c r="O48" i="5"/>
  <c r="O44" i="5"/>
  <c r="O18" i="5"/>
  <c r="O22" i="5"/>
  <c r="O26" i="5"/>
  <c r="O30" i="5"/>
  <c r="O34" i="5"/>
  <c r="O38" i="5"/>
  <c r="O50" i="5"/>
  <c r="O20" i="5"/>
  <c r="O36" i="5"/>
  <c r="O150" i="5"/>
  <c r="O146" i="5"/>
  <c r="O141" i="5"/>
  <c r="O138" i="5"/>
  <c r="O122" i="5"/>
  <c r="O118" i="5"/>
  <c r="O114" i="5"/>
  <c r="O108" i="5"/>
  <c r="O104" i="5"/>
  <c r="O95" i="5"/>
  <c r="O91" i="5"/>
  <c r="O81" i="5"/>
  <c r="O77" i="5"/>
  <c r="O74" i="5"/>
  <c r="O70" i="5"/>
  <c r="O66" i="5"/>
  <c r="O60" i="5"/>
  <c r="O56" i="5"/>
  <c r="O49" i="5"/>
  <c r="O45" i="5"/>
  <c r="O21" i="5"/>
  <c r="O25" i="5"/>
  <c r="O29" i="5"/>
  <c r="O33" i="5"/>
  <c r="O37" i="5"/>
  <c r="O61" i="5"/>
  <c r="O24" i="5"/>
  <c r="O32" i="5"/>
  <c r="O67" i="5"/>
  <c r="O85" i="5"/>
  <c r="O86" i="5"/>
  <c r="O88" i="5"/>
  <c r="O87" i="5"/>
  <c r="O97" i="5"/>
  <c r="F41" i="10" l="1"/>
  <c r="E41" i="10"/>
  <c r="G39" i="10" l="1"/>
  <c r="G41" i="10" s="1"/>
  <c r="D41" i="10"/>
</calcChain>
</file>

<file path=xl/sharedStrings.xml><?xml version="1.0" encoding="utf-8"?>
<sst xmlns="http://schemas.openxmlformats.org/spreadsheetml/2006/main" count="797" uniqueCount="347">
  <si>
    <t>Nurse-Family Partnership Budget Template</t>
  </si>
  <si>
    <r>
      <t xml:space="preserve">The NFP fees in this budget apply only for an agency that completes its first visit between 1/1/2018 and </t>
    </r>
    <r>
      <rPr>
        <b/>
        <sz val="10"/>
        <color rgb="FFFF0000"/>
        <rFont val="Arial"/>
        <family val="2"/>
      </rPr>
      <t>12/31/2018</t>
    </r>
  </si>
  <si>
    <t>Please enter agency name:</t>
  </si>
  <si>
    <t>Agency</t>
  </si>
  <si>
    <t>HELPFUL HINTS</t>
  </si>
  <si>
    <t>NOTE:  This budget is for an implementation to be launched on or after January 1, 2018 and will complete its first home visit prior to December 31, 2018.  If your agency will launch after 2018, please contact the Nurse-Family Partnership National Office to obtain an updated version of the Budget Template.</t>
  </si>
  <si>
    <t>&gt;</t>
  </si>
  <si>
    <t>You may enter new values in yellow cells, and formulae for cells will automatically calculate values for other cells.</t>
  </si>
  <si>
    <t>Adjust all values in the yellow cells to match your particular situation.</t>
  </si>
  <si>
    <t>Prices are effective at the time of signing a contract w/NFP.</t>
  </si>
  <si>
    <r>
      <t xml:space="preserve">Personnel </t>
    </r>
    <r>
      <rPr>
        <sz val="10"/>
        <rFont val="Arial"/>
        <family val="2"/>
      </rPr>
      <t>- Use whole numbers only (number of staff positions, not FTE %)</t>
    </r>
  </si>
  <si>
    <t xml:space="preserve">Prices should be confirmed to ensure this budget reflects </t>
  </si>
  <si>
    <t>Year Start Date</t>
  </si>
  <si>
    <t>prices currently in effect at the NSO.</t>
  </si>
  <si>
    <t>Number of Administrators</t>
  </si>
  <si>
    <t>Number of Supervisors</t>
  </si>
  <si>
    <t>Number of Nurse Home Visitors</t>
  </si>
  <si>
    <t>Number of Data Entry Personnel</t>
  </si>
  <si>
    <t>Use your own local salary figures, fringe benefits, and FTE percentages.</t>
  </si>
  <si>
    <t>Increase/Year</t>
  </si>
  <si>
    <t>Start Date</t>
  </si>
  <si>
    <t>Base Salary</t>
  </si>
  <si>
    <t>Fringe Benefits</t>
  </si>
  <si>
    <t>Total</t>
  </si>
  <si>
    <t>Year Start Date:</t>
  </si>
  <si>
    <t>Enter start date for staff</t>
  </si>
  <si>
    <t>Staff you will employee:</t>
  </si>
  <si>
    <t>% Effort</t>
  </si>
  <si>
    <t xml:space="preserve">% </t>
  </si>
  <si>
    <t>Set Base Salary and FTE as necessary</t>
  </si>
  <si>
    <t>Administrator</t>
  </si>
  <si>
    <t>Adjust annual cost increases as necessary</t>
  </si>
  <si>
    <t>Nurse Supervisor 1</t>
  </si>
  <si>
    <t>Enter your actual fringe benefit rate</t>
  </si>
  <si>
    <t xml:space="preserve">Nurse Home Visitor 1 </t>
  </si>
  <si>
    <t>Adjust % of effort as needed</t>
  </si>
  <si>
    <t>Nurse Home Visitor 2</t>
  </si>
  <si>
    <t>Nurse Home Visitor 3</t>
  </si>
  <si>
    <t>Nurse Home Visitor 4</t>
  </si>
  <si>
    <t>Nurse Home Visitor 5</t>
  </si>
  <si>
    <t>Nurse Home Visitor 6</t>
  </si>
  <si>
    <t>Nurse Home Visitor 7</t>
  </si>
  <si>
    <t>Nurse Home Visitor 8</t>
  </si>
  <si>
    <t>Data Entry/Support Person 1</t>
  </si>
  <si>
    <t>Nurse Supervisor 2</t>
  </si>
  <si>
    <t xml:space="preserve">Nurse Home Visitor 9 </t>
  </si>
  <si>
    <t>Nurse Home Visitor 10</t>
  </si>
  <si>
    <t>Nurse Home Visitor 11</t>
  </si>
  <si>
    <t>Nurse Home Visitor 12</t>
  </si>
  <si>
    <t>Nurse Home Visitor 13</t>
  </si>
  <si>
    <t>Nurse Home Visitor 14</t>
  </si>
  <si>
    <t>Nurse Home Visitor 15</t>
  </si>
  <si>
    <t>Nurse Home Visitor 16</t>
  </si>
  <si>
    <t>Data Entry/Support Person 2</t>
  </si>
  <si>
    <t>Outreach/Intake Staff</t>
  </si>
  <si>
    <t>Total without Indirect</t>
  </si>
  <si>
    <t>Indirect</t>
  </si>
  <si>
    <t>Add Indirect Percentage if necessary</t>
  </si>
  <si>
    <t xml:space="preserve">    Sub-Total (Personnel)</t>
  </si>
  <si>
    <r>
      <t xml:space="preserve">Programmatic Expenses  - Ongoing </t>
    </r>
    <r>
      <rPr>
        <b/>
        <i/>
        <sz val="10"/>
        <color indexed="12"/>
        <rFont val="Arial"/>
        <family val="2"/>
      </rPr>
      <t>(Please adjust to local costs)</t>
    </r>
  </si>
  <si>
    <t>Adjust unit cost assumptions to reflect your local costs</t>
  </si>
  <si>
    <t>Office Expenses</t>
  </si>
  <si>
    <t>per year</t>
  </si>
  <si>
    <t>Add Office Expenses (Rent, Maintenance, Utilities, etc.)</t>
  </si>
  <si>
    <t>Office Supplies</t>
  </si>
  <si>
    <t>per nurse, sup</t>
  </si>
  <si>
    <t>Client Support Materials</t>
  </si>
  <si>
    <t>per family</t>
  </si>
  <si>
    <t>Site Outreach Materials</t>
  </si>
  <si>
    <t>per month</t>
  </si>
  <si>
    <t>Copies of forms/facilitators</t>
  </si>
  <si>
    <t>Postage</t>
  </si>
  <si>
    <t>Computer Network Fees</t>
  </si>
  <si>
    <t>Add your annual Computer Networking Fees in yellow cell</t>
  </si>
  <si>
    <t>Cellular Usage Fees</t>
  </si>
  <si>
    <t>Medical &amp; Program Supplies</t>
  </si>
  <si>
    <t>per NHV Yr 1</t>
  </si>
  <si>
    <t>Half Yrs 2&amp;3</t>
  </si>
  <si>
    <t>Professional Development</t>
  </si>
  <si>
    <t>Adjust miles per trip to reflect your geographic area</t>
  </si>
  <si>
    <t>Mileage (20 trips/family/yr)</t>
  </si>
  <si>
    <t>mi/trip</t>
  </si>
  <si>
    <t>Adjust mileage reimbursement rate if needed</t>
  </si>
  <si>
    <t>Program Participation Fee</t>
  </si>
  <si>
    <t xml:space="preserve">Per supervisor </t>
  </si>
  <si>
    <t>Total Administrative</t>
  </si>
  <si>
    <t xml:space="preserve">    Total ongoing expenses</t>
  </si>
  <si>
    <t>One time and Start-Up Related Expenses</t>
  </si>
  <si>
    <t>Start up fee</t>
  </si>
  <si>
    <t>Nurse Initial Education Tuition</t>
  </si>
  <si>
    <t>Per NHV</t>
  </si>
  <si>
    <t>Supervisor Initial Education Tuition</t>
  </si>
  <si>
    <t>Per Sup</t>
  </si>
  <si>
    <t>Administrator Orientation</t>
  </si>
  <si>
    <t>Per Administrator</t>
  </si>
  <si>
    <t>Enter actual number of Administrators attending education</t>
  </si>
  <si>
    <t>Nurse Education Materials</t>
  </si>
  <si>
    <t>Per NHV &amp; Sup</t>
  </si>
  <si>
    <t>Computers w/ Software</t>
  </si>
  <si>
    <t>per nurse, sup, data entry</t>
  </si>
  <si>
    <t>one time</t>
  </si>
  <si>
    <t>Cellular Phones</t>
  </si>
  <si>
    <t>Travel: Agency to Administrator Orientation</t>
  </si>
  <si>
    <t>Adjust cost per trip as appropriate</t>
  </si>
  <si>
    <t>Travel: Agency to Education Unit 2</t>
  </si>
  <si>
    <t>Travel: Agency to Education Unit 4</t>
  </si>
  <si>
    <t>Travel: Agency to DANCE Education</t>
  </si>
  <si>
    <t>DANCE Education</t>
  </si>
  <si>
    <t>NCAST Materials</t>
  </si>
  <si>
    <t>See narrative</t>
  </si>
  <si>
    <t>PIPE Materials</t>
  </si>
  <si>
    <t>ASQ Materials</t>
  </si>
  <si>
    <t>Supervisor Expansion Fee</t>
  </si>
  <si>
    <t>One time per Sup</t>
  </si>
  <si>
    <t>Total One-time and Start-Up related expenses</t>
  </si>
  <si>
    <t>TOTAL ANNUAL BUDGET</t>
  </si>
  <si>
    <t>This number represents the true total budget amount</t>
  </si>
  <si>
    <t>In Kind Contributions</t>
  </si>
  <si>
    <t>Furniture</t>
  </si>
  <si>
    <t>Add any In-Kind Contributions here</t>
  </si>
  <si>
    <t>Office Space</t>
  </si>
  <si>
    <t>Total In Kind Contributions</t>
  </si>
  <si>
    <t>TOTAL ANNUAL BUDGET AFTER IN KIND CONTRIBUTIONS</t>
  </si>
  <si>
    <t>This amount represents the true cost of the program</t>
  </si>
  <si>
    <t>SUPPLEMENTAL COSTS - Items not included in a standard NFP agency start up (see narrative)</t>
  </si>
  <si>
    <t>Use your own local salary figures, fringe benefits, FTE percentages and anticipated salary increases.</t>
  </si>
  <si>
    <t xml:space="preserve">Additional Personnel </t>
  </si>
  <si>
    <t>% FTE</t>
  </si>
  <si>
    <t>Interpretation Services</t>
  </si>
  <si>
    <t xml:space="preserve">For costs such as P/T evaluator, P/T coordinator </t>
  </si>
  <si>
    <t>Infant Mental Health Specialist</t>
  </si>
  <si>
    <t>or any misc items that you wish to include</t>
  </si>
  <si>
    <t>Adjust salaries and % effort as needed</t>
  </si>
  <si>
    <t>Adjust annual cost increases if necessary</t>
  </si>
  <si>
    <t>Additional Costs</t>
  </si>
  <si>
    <t># of Supervisors attending Symposium</t>
  </si>
  <si>
    <t>Enter actual number of Supervisors attending Symposium</t>
  </si>
  <si>
    <t># of NHV attending Symposium</t>
  </si>
  <si>
    <t>Enter actual number of NHVs attending Symposium (1 NHV per attending Supervisor)</t>
  </si>
  <si>
    <t>Symposium Travel costs</t>
  </si>
  <si>
    <t>Enter actual trip cost if appropriate</t>
  </si>
  <si>
    <t>Data Transmission Set-Up Fee</t>
  </si>
  <si>
    <t>Optional- Data Transmission Set-Up Fee</t>
  </si>
  <si>
    <t>Annual Transmission Fee</t>
  </si>
  <si>
    <t>Optional- Annual Tranmission Fee</t>
  </si>
  <si>
    <t>Other NFP Contracted Services</t>
  </si>
  <si>
    <t>CAB meeting space and materials</t>
  </si>
  <si>
    <t>Graduation Expenses</t>
  </si>
  <si>
    <t>Starting in Year 3</t>
  </si>
  <si>
    <t>Other (Please Specify)</t>
  </si>
  <si>
    <t>Subtotal (Additional Costs)</t>
  </si>
  <si>
    <t>TOTAL SUPPLEMENTAL BUDGET</t>
  </si>
  <si>
    <t>TOTAL ANNUAL AND SUPPLEMENTAL BUDGET</t>
  </si>
  <si>
    <r>
      <t xml:space="preserve">STAFF REPLACEMENT COSTS- </t>
    </r>
    <r>
      <rPr>
        <sz val="11"/>
        <rFont val="Arial"/>
        <family val="2"/>
      </rPr>
      <t>Highly recommended to add additional costs in your budget to account for turnover (which impacts client attrition and caseload).  National average turnover rates for nurses are typically approximately 15%. Also include any expansion anticpated (i.e. adding another supervisor after the program is established)</t>
    </r>
  </si>
  <si>
    <t>Personnel Costs</t>
  </si>
  <si>
    <t>Prices are effective at the time of signing a contract w/NFP. Prices should be confirmed to ensure this budget reflects prices currently in effect at the NSO.</t>
  </si>
  <si>
    <t xml:space="preserve">Use Whole Numbers Only </t>
  </si>
  <si>
    <t>(number of staff positions, not FTE %)</t>
  </si>
  <si>
    <t>Account for personnel costs in the year in which</t>
  </si>
  <si>
    <t>replacement(s) are anticipated</t>
  </si>
  <si>
    <t>Supervisor Replacement Fee</t>
  </si>
  <si>
    <t>Travel Costs (Airfare/Hotel/Meals)</t>
  </si>
  <si>
    <t>Travel: Agency to Administrator Education</t>
  </si>
  <si>
    <t>Costs assumes regional session/adjust if attending Denver session</t>
  </si>
  <si>
    <t>TOTAL STAFF REPLACEMENT COSTS</t>
  </si>
  <si>
    <t>TOTAL ANNUAL BUDGET (INCLUDES ORIGINAL, SUPPLEMENTAL &amp; REPLACEMENT)</t>
  </si>
  <si>
    <t>Assumes new partners will be priced using the new pricing structure.</t>
  </si>
  <si>
    <r>
      <t xml:space="preserve">The "Inputs" tab is where you will put in all of the salaries and programmatic expenses. </t>
    </r>
    <r>
      <rPr>
        <b/>
        <sz val="11"/>
        <rFont val="Arial"/>
        <family val="2"/>
      </rPr>
      <t>Enter data in yellow cells only.</t>
    </r>
    <r>
      <rPr>
        <sz val="11"/>
        <rFont val="Arial"/>
        <family val="2"/>
      </rPr>
      <t xml:space="preserve"> We have provided recommendations for some programmatic costs, and you should change those numbers if your local costs differ. The second section of this tab is where you will enter the expected funding sources and timelines.
The "Summary" tab shows the costs to implement your program.</t>
    </r>
  </si>
  <si>
    <t>Network Partner Name:</t>
  </si>
  <si>
    <t>Program Start Date</t>
  </si>
  <si>
    <t>Required field</t>
  </si>
  <si>
    <t xml:space="preserve">Year 2 </t>
  </si>
  <si>
    <t>Year 3</t>
  </si>
  <si>
    <t>Inflation per year (Personnel)</t>
  </si>
  <si>
    <t>Inflation per year (Other)</t>
  </si>
  <si>
    <t>EXPENSES INPUTS</t>
  </si>
  <si>
    <t>Personnel</t>
  </si>
  <si>
    <t>All 3 items required.  Dates must be later than program start date.</t>
  </si>
  <si>
    <t>Is 2nd team located at same addrss as 1st team?</t>
  </si>
  <si>
    <t>Nurse Home Visitor 9</t>
  </si>
  <si>
    <t>Indirect on Personnel Expenses</t>
  </si>
  <si>
    <r>
      <t xml:space="preserve">Additional Personnel - </t>
    </r>
    <r>
      <rPr>
        <b/>
        <sz val="10"/>
        <rFont val="Arial"/>
        <family val="2"/>
      </rPr>
      <t>not included in a standard NFP start up</t>
    </r>
  </si>
  <si>
    <t>Indirect on Additional Personnel</t>
  </si>
  <si>
    <r>
      <t xml:space="preserve">Programmatic Expenses  - Ongoing </t>
    </r>
    <r>
      <rPr>
        <b/>
        <i/>
        <sz val="12"/>
        <color indexed="12"/>
        <rFont val="Arial"/>
        <family val="2"/>
      </rPr>
      <t>(Adjust to local costs)</t>
    </r>
  </si>
  <si>
    <t>Office Expenses (rent, utilities, insurance, etc)</t>
  </si>
  <si>
    <t xml:space="preserve">  Please make sure expense is for period specified in column D</t>
  </si>
  <si>
    <t>per nurse</t>
  </si>
  <si>
    <t>Smart Phones Usage Fees</t>
  </si>
  <si>
    <t>Equipment rental &amp; maintenance</t>
  </si>
  <si>
    <t>Professional Services</t>
  </si>
  <si>
    <t>Assistance to clients</t>
  </si>
  <si>
    <r>
      <t>Programmatic Expenses - One Time</t>
    </r>
    <r>
      <rPr>
        <b/>
        <i/>
        <sz val="12"/>
        <rFont val="Arial"/>
        <family val="2"/>
      </rPr>
      <t xml:space="preserve"> </t>
    </r>
    <r>
      <rPr>
        <b/>
        <i/>
        <sz val="12"/>
        <color rgb="FF0000FF"/>
        <rFont val="Arial"/>
        <family val="2"/>
      </rPr>
      <t>(Adjust to local costs)</t>
    </r>
  </si>
  <si>
    <t>Smart Phones</t>
  </si>
  <si>
    <t xml:space="preserve">Staff recruitment costs </t>
  </si>
  <si>
    <t>Year 1</t>
  </si>
  <si>
    <t>Year 2</t>
  </si>
  <si>
    <t>PIPE Training</t>
  </si>
  <si>
    <t>Indirect on Programmatic Expenses</t>
  </si>
  <si>
    <r>
      <t xml:space="preserve">Staff Replacement Costs - </t>
    </r>
    <r>
      <rPr>
        <b/>
        <sz val="10"/>
        <rFont val="Arial"/>
        <family val="2"/>
      </rPr>
      <t xml:space="preserve">Highly recommended to add additional costs in your budget to account for turnover (which impacts client attrition and caseload).  National average turnover rates for nurses are typically approximately 15%. </t>
    </r>
  </si>
  <si>
    <t>Indirect on Replacement Costs</t>
  </si>
  <si>
    <t>Additional Costs (Optional)</t>
  </si>
  <si>
    <t># of Staff attending Symposium</t>
  </si>
  <si>
    <t>Registration Fee</t>
  </si>
  <si>
    <t>Special Report and Data Transmission</t>
  </si>
  <si>
    <t>Other NSO Contracted Services</t>
  </si>
  <si>
    <t>Indirect on Additional Costs</t>
  </si>
  <si>
    <t>FUNDING INPUTS</t>
  </si>
  <si>
    <t>Funding Start Date and End Date have to be at the project start year or later.</t>
  </si>
  <si>
    <t>Funding Sources</t>
  </si>
  <si>
    <t>End Date</t>
  </si>
  <si>
    <t>Funding 1</t>
  </si>
  <si>
    <t xml:space="preserve">     Please make sure end date is the same as last date of year 3 if all funds are needed to cover expense</t>
  </si>
  <si>
    <t>Funding 2</t>
  </si>
  <si>
    <t>Funding 3</t>
  </si>
  <si>
    <t>Funding 4</t>
  </si>
  <si>
    <t>Funding 5</t>
  </si>
  <si>
    <t>Funding 6</t>
  </si>
  <si>
    <t>Funding 7</t>
  </si>
  <si>
    <t>Funding 8</t>
  </si>
  <si>
    <t>Funding 9</t>
  </si>
  <si>
    <t>Funding 10</t>
  </si>
  <si>
    <t>Total Funding</t>
  </si>
  <si>
    <t>ENROLLMENT PARAMETERS</t>
  </si>
  <si>
    <t>Caseload</t>
  </si>
  <si>
    <t>Months til NHV at full capacity</t>
  </si>
  <si>
    <t>Client Attrition per month</t>
  </si>
  <si>
    <t>Referral to enrollment conversion rate</t>
  </si>
  <si>
    <t>Estimated Annual Medicaid Births in service area</t>
  </si>
  <si>
    <t>Estimated Annual Referrals receiving CURRENTLY</t>
  </si>
  <si>
    <t>Yes</t>
  </si>
  <si>
    <t>No</t>
  </si>
  <si>
    <t>The "Summary" tab summarizes the Funds and expenses calculated on the Calc tab.  No input is necessary.</t>
  </si>
  <si>
    <t>Staffing</t>
  </si>
  <si>
    <t>Administrators</t>
  </si>
  <si>
    <t>Supervisors</t>
  </si>
  <si>
    <t>NHVs - headcount</t>
  </si>
  <si>
    <t>NHVs - FTEs</t>
  </si>
  <si>
    <t>Data Entry</t>
  </si>
  <si>
    <t>Funding</t>
  </si>
  <si>
    <t>Expenses</t>
  </si>
  <si>
    <t>Additional Personnel</t>
  </si>
  <si>
    <t>Total Personnel</t>
  </si>
  <si>
    <t>Programmatic before indirect</t>
  </si>
  <si>
    <t>Total Programmatic</t>
  </si>
  <si>
    <t>One-time and Start-up Expenses before indirect</t>
  </si>
  <si>
    <t>Total One-time and Start-up Expenses</t>
  </si>
  <si>
    <t>TOTAL</t>
  </si>
  <si>
    <t>Supplemental before indirect</t>
  </si>
  <si>
    <t>Staff Replacement</t>
  </si>
  <si>
    <t>Total Expenses</t>
  </si>
  <si>
    <t>In-kind Contributions</t>
  </si>
  <si>
    <t>Total w/ in-kind</t>
  </si>
  <si>
    <t>Funding Excess (shortfall)</t>
  </si>
  <si>
    <t>ENROLLMENT &amp; REFERRALS</t>
  </si>
  <si>
    <t>New NHVs:</t>
  </si>
  <si>
    <t>Cases Managed</t>
  </si>
  <si>
    <t>Enrollments Needed</t>
  </si>
  <si>
    <t xml:space="preserve">INCREMENTAL Referrals needed </t>
  </si>
  <si>
    <t>Clients (moms) in region</t>
  </si>
  <si>
    <t>Percent of total clients for referral</t>
  </si>
  <si>
    <t>The "Calc" tab is where the budget is calculated based on the parameters included in the "Inputs" tab.</t>
  </si>
  <si>
    <t>% to Total Annual Budget incl supplemental and replacement</t>
  </si>
  <si>
    <t>Number of Nurse Supervisors (hdct)</t>
  </si>
  <si>
    <t>Number of Colocated  Supervisors (hdct)</t>
  </si>
  <si>
    <t>Number of Nurse Home Visitors (hdct)</t>
  </si>
  <si>
    <t>Number of Nurse Home Visitors - Team 1 (hdct)</t>
  </si>
  <si>
    <t>Number of Nurse Home Visitors - Team 2 (hdct)</t>
  </si>
  <si>
    <t>Number of Nurse Home Visitors FTEs</t>
  </si>
  <si>
    <t>Number of Data Entry Personnel (hdct)</t>
  </si>
  <si>
    <t>Benefits</t>
  </si>
  <si>
    <t>FTE</t>
  </si>
  <si>
    <t>Programmatic Expenses  - Ongoing</t>
  </si>
  <si>
    <t>per family/per nurse FTE</t>
  </si>
  <si>
    <t>Network Partner Support Fee</t>
  </si>
  <si>
    <t>Team 1</t>
  </si>
  <si>
    <t>Team 2 (same location)</t>
  </si>
  <si>
    <t>Team 2 (new location)</t>
  </si>
  <si>
    <t>Additional team - same location</t>
  </si>
  <si>
    <t>One time per New Sup</t>
  </si>
  <si>
    <t>Additional team - new location</t>
  </si>
  <si>
    <t>One Time per new Co-Loc Sup</t>
  </si>
  <si>
    <t>Staff recruitment costs</t>
  </si>
  <si>
    <t>Increase/year</t>
  </si>
  <si>
    <t>Special Report and Data Transmision Fee</t>
  </si>
  <si>
    <t>Supervisor Replacement</t>
  </si>
  <si>
    <t>DAYS IN A YEAR</t>
  </si>
  <si>
    <t>Revenue Distribution</t>
  </si>
  <si>
    <t>DAYS</t>
  </si>
  <si>
    <t>PERCENTAGES</t>
  </si>
  <si>
    <t>Revenue Source Name</t>
  </si>
  <si>
    <t>Amount</t>
  </si>
  <si>
    <t>Length of the grant (days)</t>
  </si>
  <si>
    <t>The "Fees" tab contains the NFP-NSO fees for a partner to implement and operate the NFP program.  Years 2021 and 2022 are established prices.  Years 2023 - 2026 are estimated prices and subject to change.  Pricing for these years will be evaluated in the prior year.</t>
  </si>
  <si>
    <t>Start-up</t>
  </si>
  <si>
    <t>Education</t>
  </si>
  <si>
    <t>NHV</t>
  </si>
  <si>
    <t>NHV materials</t>
  </si>
  <si>
    <t>Program Supervisor</t>
  </si>
  <si>
    <t>Supervisor (Unit 2)</t>
  </si>
  <si>
    <t>Standard Administrator</t>
  </si>
  <si>
    <t>Additional Administrator</t>
  </si>
  <si>
    <t>Symposium Registration</t>
  </si>
  <si>
    <t>Total Supervisor training</t>
  </si>
  <si>
    <t>Partner Program Support</t>
  </si>
  <si>
    <t>Program Support</t>
  </si>
  <si>
    <t>1st team at location</t>
  </si>
  <si>
    <t>nurse home visitor team</t>
  </si>
  <si>
    <t>2nd and subsequent teams at same location</t>
  </si>
  <si>
    <t xml:space="preserve">Expansion </t>
  </si>
  <si>
    <t>Supervisor replacement</t>
  </si>
  <si>
    <t>Additional team, same location</t>
  </si>
  <si>
    <t>Regional expansion (new location)</t>
  </si>
  <si>
    <t>The "New NHVs-Enrollment Calcs" tab calculates the expected enrollment based on caseload assumptions for new NHVs.  The caseload starts out low and increases in the first months as the NHV gains experience.</t>
  </si>
  <si>
    <t>Assumes new hires will complete NHV training within 30 days</t>
  </si>
  <si>
    <t>NHVs:  month start managing cases</t>
  </si>
  <si>
    <t>Program Year 1</t>
  </si>
  <si>
    <t>Program Year 2</t>
  </si>
  <si>
    <t>Program Year 3</t>
  </si>
  <si>
    <t>Month</t>
  </si>
  <si>
    <t>PY 1</t>
  </si>
  <si>
    <t>PY 2</t>
  </si>
  <si>
    <t>PY 3</t>
  </si>
  <si>
    <t>NHV 1</t>
  </si>
  <si>
    <t>NHV 2</t>
  </si>
  <si>
    <t>NHV 3</t>
  </si>
  <si>
    <t>NHV 4</t>
  </si>
  <si>
    <t>NHV 5</t>
  </si>
  <si>
    <t>NHV 6</t>
  </si>
  <si>
    <t>NHV 7</t>
  </si>
  <si>
    <t>NHV 8</t>
  </si>
  <si>
    <t>NHV 9</t>
  </si>
  <si>
    <t>NHV 10</t>
  </si>
  <si>
    <t>NHV 11</t>
  </si>
  <si>
    <t>NHV 12</t>
  </si>
  <si>
    <t>NHV 13</t>
  </si>
  <si>
    <t>NHV 14</t>
  </si>
  <si>
    <t>NHV 15</t>
  </si>
  <si>
    <t>NHV 16</t>
  </si>
  <si>
    <t>NHV FTEs - effective</t>
  </si>
  <si>
    <t>Incremental NHVs</t>
  </si>
  <si>
    <t>Ramp-up of caseload:</t>
  </si>
  <si>
    <t>per mo</t>
  </si>
  <si>
    <t>cumulative caseload</t>
  </si>
  <si>
    <t>Total Cases</t>
  </si>
  <si>
    <t>With Attrition</t>
  </si>
  <si>
    <t>New Enrollees</t>
  </si>
  <si>
    <t>Cumulative Enrollees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</si>
</sst>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
    <numFmt numFmtId="165" formatCode="_(&quot;$&quot;* #,##0_);_(&quot;$&quot;* \(#,##0\);_(&quot;$&quot;* &quot;-&quot;??_);_(@_)"/>
    <numFmt numFmtId="166" formatCode="_(&quot;$&quot;* #,##0.000_);_(&quot;$&quot;* \(#,##0.000\);_(&quot;$&quot;* &quot;-&quot;??_);_(@_)"/>
    <numFmt numFmtId="167" formatCode="_(* #,##0_);_(* \(#,##0\);_(* &quot;-&quot;??_);_(@_)"/>
    <numFmt numFmtId="168" formatCode="_(* #,##0.0000_);_(* \(#,##0.0000\);_(* &quot;-&quot;??_);_(@_)"/>
    <numFmt numFmtId="169" formatCode="&quot;$&quot;#,##0"/>
    <numFmt numFmtId="170" formatCode="0.0"/>
    <numFmt numFmtId="171" formatCode="&quot;$&quot;#,##0.000"/>
    <numFmt numFmtId="172" formatCode="&quot;$&quot;#,##0.00"/>
    <numFmt numFmtId="173" formatCode="_(* #,##0.000000_);_(* \(#,##0.000000\);_(* &quot;-&quot;??_);_(@_)"/>
  </numFmts>
  <fonts count="40" x14ac:knownFonts="1">
    <font>
      <sz val="10"/>
      <name val="Arial"/>
    </font>
    <font>
      <sz val="10"/>
      <name val="Arial"/>
      <family val="2"/>
    </font>
    <font>
      <b/>
      <sz val="14"/>
      <name val="Arial"/>
      <family val="2"/>
    </font>
    <font>
      <i/>
      <sz val="10"/>
      <name val="Arial"/>
      <family val="2"/>
    </font>
    <font>
      <b/>
      <sz val="10"/>
      <name val="Arial"/>
      <family val="2"/>
    </font>
    <font>
      <b/>
      <i/>
      <sz val="10"/>
      <color indexed="12"/>
      <name val="Arial"/>
      <family val="2"/>
    </font>
    <font>
      <sz val="10"/>
      <name val="Arial"/>
      <family val="2"/>
    </font>
    <font>
      <b/>
      <sz val="10"/>
      <color indexed="12"/>
      <name val="Arial"/>
      <family val="2"/>
    </font>
    <font>
      <b/>
      <sz val="11"/>
      <name val="Arial"/>
      <family val="2"/>
    </font>
    <font>
      <b/>
      <sz val="12"/>
      <name val="Arial"/>
      <family val="2"/>
    </font>
    <font>
      <b/>
      <i/>
      <sz val="10"/>
      <name val="Arial"/>
      <family val="2"/>
    </font>
    <font>
      <b/>
      <i/>
      <sz val="12"/>
      <color rgb="FFFF0000"/>
      <name val="Arial"/>
      <family val="2"/>
    </font>
    <font>
      <b/>
      <sz val="10"/>
      <color rgb="FFFF0000"/>
      <name val="Arial"/>
      <family val="2"/>
    </font>
    <font>
      <b/>
      <sz val="10"/>
      <color rgb="FF0000FF"/>
      <name val="Arial"/>
      <family val="2"/>
    </font>
    <font>
      <b/>
      <i/>
      <sz val="12"/>
      <name val="Arial"/>
      <family val="2"/>
    </font>
    <font>
      <sz val="11"/>
      <name val="Arial"/>
      <family val="2"/>
    </font>
    <font>
      <sz val="10"/>
      <color rgb="FFFF0000"/>
      <name val="Arial"/>
      <family val="2"/>
    </font>
    <font>
      <sz val="10"/>
      <color theme="1"/>
      <name val="Arial"/>
      <family val="2"/>
    </font>
    <font>
      <sz val="10"/>
      <color theme="0"/>
      <name val="Arial"/>
      <family val="2"/>
    </font>
    <font>
      <b/>
      <sz val="10"/>
      <color rgb="FFFFFFFF"/>
      <name val="Arial"/>
      <family val="2"/>
    </font>
    <font>
      <b/>
      <i/>
      <sz val="11"/>
      <name val="Arial"/>
      <family val="2"/>
    </font>
    <font>
      <b/>
      <sz val="11"/>
      <color indexed="12"/>
      <name val="Arial"/>
      <family val="2"/>
    </font>
    <font>
      <i/>
      <sz val="11"/>
      <name val="Arial"/>
      <family val="2"/>
    </font>
    <font>
      <sz val="8"/>
      <name val="Arial"/>
      <family val="2"/>
    </font>
    <font>
      <b/>
      <sz val="8"/>
      <name val="Arial"/>
      <family val="2"/>
    </font>
    <font>
      <b/>
      <sz val="11"/>
      <color rgb="FFFF0000"/>
      <name val="Arial"/>
      <family val="2"/>
    </font>
    <font>
      <u/>
      <sz val="10"/>
      <name val="Arial"/>
      <family val="2"/>
    </font>
    <font>
      <sz val="11"/>
      <color theme="1"/>
      <name val="Rockwell Nova Light"/>
      <family val="2"/>
    </font>
    <font>
      <i/>
      <sz val="8"/>
      <color rgb="FF7030A0"/>
      <name val="Arial"/>
      <family val="2"/>
    </font>
    <font>
      <sz val="10"/>
      <color theme="0" tint="-0.499984740745262"/>
      <name val="Arial"/>
      <family val="2"/>
    </font>
    <font>
      <b/>
      <i/>
      <sz val="11"/>
      <color indexed="12"/>
      <name val="Arial"/>
      <family val="2"/>
    </font>
    <font>
      <b/>
      <i/>
      <sz val="12"/>
      <color indexed="12"/>
      <name val="Arial"/>
      <family val="2"/>
    </font>
    <font>
      <b/>
      <i/>
      <sz val="12"/>
      <color rgb="FF0000FF"/>
      <name val="Arial"/>
      <family val="2"/>
    </font>
    <font>
      <b/>
      <i/>
      <sz val="10"/>
      <color rgb="FF0070C0"/>
      <name val="Arial"/>
      <family val="2"/>
    </font>
    <font>
      <b/>
      <sz val="10"/>
      <color rgb="FF0070C0"/>
      <name val="Arial"/>
      <family val="2"/>
    </font>
    <font>
      <i/>
      <sz val="9"/>
      <name val="Arial"/>
      <family val="2"/>
    </font>
    <font>
      <b/>
      <u/>
      <sz val="10"/>
      <name val="Arial"/>
      <family val="2"/>
    </font>
    <font>
      <b/>
      <i/>
      <u/>
      <sz val="10"/>
      <color rgb="FF0070C0"/>
      <name val="Arial"/>
      <family val="2"/>
    </font>
    <font>
      <b/>
      <sz val="14"/>
      <color theme="0"/>
      <name val="Arial"/>
      <family val="2"/>
    </font>
    <font>
      <b/>
      <i/>
      <sz val="11"/>
      <color rgb="FF7030A0"/>
      <name val="Arial"/>
      <family val="2"/>
    </font>
  </fonts>
  <fills count="2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99FF"/>
        <bgColor indexed="64"/>
      </patternFill>
    </fill>
    <fill>
      <patternFill patternType="solid">
        <fgColor rgb="FFFFCC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7" fillId="0" borderId="0"/>
    <xf numFmtId="44" fontId="27" fillId="0" borderId="0" applyFont="0" applyFill="0" applyBorder="0" applyAlignment="0" applyProtection="0"/>
    <xf numFmtId="9" fontId="27" fillId="0" borderId="0" applyFont="0" applyFill="0" applyBorder="0" applyAlignment="0" applyProtection="0"/>
    <xf numFmtId="43" fontId="27" fillId="0" borderId="0" applyFont="0" applyFill="0" applyBorder="0" applyAlignment="0" applyProtection="0"/>
  </cellStyleXfs>
  <cellXfs count="776">
    <xf numFmtId="0" fontId="0" fillId="0" borderId="0" xfId="0"/>
    <xf numFmtId="0" fontId="3" fillId="0" borderId="0" xfId="0" applyFont="1"/>
    <xf numFmtId="0" fontId="5" fillId="0" borderId="4" xfId="0" applyFont="1" applyBorder="1" applyAlignment="1">
      <alignment horizontal="center" wrapText="1"/>
    </xf>
    <xf numFmtId="0" fontId="0" fillId="0" borderId="4" xfId="0" applyBorder="1"/>
    <xf numFmtId="0" fontId="0" fillId="0" borderId="4" xfId="0" applyBorder="1" applyAlignment="1">
      <alignment horizontal="center" vertical="distributed"/>
    </xf>
    <xf numFmtId="164" fontId="1" fillId="2" borderId="4" xfId="3" applyNumberFormat="1" applyFill="1" applyBorder="1" applyAlignment="1" applyProtection="1">
      <protection locked="0"/>
    </xf>
    <xf numFmtId="0" fontId="5" fillId="0" borderId="5" xfId="0" applyFont="1" applyBorder="1" applyAlignment="1">
      <alignment wrapText="1"/>
    </xf>
    <xf numFmtId="9" fontId="0" fillId="2" borderId="4" xfId="0" applyNumberFormat="1" applyFill="1" applyBorder="1" applyProtection="1">
      <protection locked="0"/>
    </xf>
    <xf numFmtId="0" fontId="4" fillId="0" borderId="5"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166" fontId="1" fillId="2" borderId="4" xfId="2" applyNumberFormat="1" applyFill="1" applyBorder="1" applyAlignment="1" applyProtection="1">
      <protection locked="0"/>
    </xf>
    <xf numFmtId="165" fontId="1" fillId="2" borderId="4" xfId="2" applyNumberFormat="1" applyFill="1" applyBorder="1" applyAlignment="1" applyProtection="1">
      <alignment horizontal="left"/>
      <protection locked="0"/>
    </xf>
    <xf numFmtId="0" fontId="4" fillId="0" borderId="1" xfId="0" applyFont="1" applyBorder="1" applyAlignment="1">
      <alignment horizontal="center"/>
    </xf>
    <xf numFmtId="0" fontId="4" fillId="0" borderId="2" xfId="0" applyFont="1" applyBorder="1" applyAlignment="1">
      <alignment horizontal="center"/>
    </xf>
    <xf numFmtId="0" fontId="6" fillId="0" borderId="0" xfId="0" applyFont="1"/>
    <xf numFmtId="3" fontId="4" fillId="0" borderId="0" xfId="0" applyNumberFormat="1" applyFont="1"/>
    <xf numFmtId="165" fontId="0" fillId="2" borderId="4" xfId="2" applyNumberFormat="1" applyFont="1" applyFill="1" applyBorder="1" applyAlignment="1" applyProtection="1">
      <alignment horizontal="right"/>
      <protection locked="0"/>
    </xf>
    <xf numFmtId="165" fontId="1" fillId="2" borderId="1" xfId="2" applyNumberFormat="1" applyFill="1" applyBorder="1" applyAlignment="1" applyProtection="1">
      <alignment horizontal="right"/>
      <protection locked="0"/>
    </xf>
    <xf numFmtId="167" fontId="0" fillId="2" borderId="4" xfId="1" applyNumberFormat="1" applyFont="1" applyFill="1" applyBorder="1" applyAlignment="1" applyProtection="1">
      <protection locked="0"/>
    </xf>
    <xf numFmtId="165" fontId="4" fillId="0" borderId="4" xfId="2" applyNumberFormat="1" applyFont="1" applyBorder="1" applyProtection="1"/>
    <xf numFmtId="0" fontId="0" fillId="0" borderId="9" xfId="0" applyBorder="1"/>
    <xf numFmtId="165" fontId="1" fillId="3" borderId="1" xfId="2" applyNumberFormat="1" applyFill="1" applyBorder="1" applyAlignment="1" applyProtection="1">
      <alignment horizontal="right"/>
    </xf>
    <xf numFmtId="165" fontId="0" fillId="0" borderId="4" xfId="0" applyNumberFormat="1" applyBorder="1"/>
    <xf numFmtId="0" fontId="4" fillId="0" borderId="4" xfId="0" applyFont="1" applyBorder="1"/>
    <xf numFmtId="0" fontId="4" fillId="0" borderId="4" xfId="0" applyFont="1" applyBorder="1" applyAlignment="1">
      <alignment horizontal="center"/>
    </xf>
    <xf numFmtId="167" fontId="1" fillId="3" borderId="4" xfId="1" applyNumberFormat="1" applyFill="1" applyBorder="1" applyProtection="1"/>
    <xf numFmtId="167" fontId="0" fillId="0" borderId="0" xfId="0" applyNumberFormat="1"/>
    <xf numFmtId="165" fontId="0" fillId="0" borderId="4" xfId="2" applyNumberFormat="1" applyFont="1" applyBorder="1" applyAlignment="1" applyProtection="1"/>
    <xf numFmtId="165" fontId="0" fillId="0" borderId="4" xfId="2" applyNumberFormat="1" applyFont="1" applyFill="1" applyBorder="1" applyProtection="1"/>
    <xf numFmtId="165" fontId="0" fillId="0" borderId="5" xfId="2" applyNumberFormat="1" applyFont="1" applyFill="1" applyBorder="1" applyProtection="1"/>
    <xf numFmtId="165" fontId="4" fillId="0" borderId="11" xfId="2" applyNumberFormat="1" applyFont="1" applyBorder="1" applyProtection="1"/>
    <xf numFmtId="0" fontId="10" fillId="0" borderId="5" xfId="0" applyFont="1" applyBorder="1" applyAlignment="1">
      <alignment wrapText="1"/>
    </xf>
    <xf numFmtId="167" fontId="4" fillId="0" borderId="4" xfId="1" applyNumberFormat="1" applyFont="1" applyBorder="1" applyAlignment="1" applyProtection="1">
      <alignment horizontal="left"/>
    </xf>
    <xf numFmtId="165" fontId="4" fillId="0" borderId="4" xfId="1" applyNumberFormat="1" applyFont="1" applyBorder="1" applyProtection="1"/>
    <xf numFmtId="167" fontId="4" fillId="0" borderId="2" xfId="1" applyNumberFormat="1" applyFont="1" applyBorder="1" applyAlignment="1" applyProtection="1">
      <alignment horizontal="left"/>
    </xf>
    <xf numFmtId="167" fontId="4" fillId="0" borderId="3" xfId="1" applyNumberFormat="1" applyFont="1" applyBorder="1" applyAlignment="1" applyProtection="1">
      <alignment horizontal="left"/>
    </xf>
    <xf numFmtId="167" fontId="4" fillId="0" borderId="4" xfId="1" applyNumberFormat="1" applyFont="1" applyFill="1" applyBorder="1" applyAlignment="1" applyProtection="1">
      <alignment horizontal="center"/>
    </xf>
    <xf numFmtId="0" fontId="0" fillId="0" borderId="10" xfId="0" applyBorder="1"/>
    <xf numFmtId="165" fontId="1" fillId="0" borderId="4" xfId="1" applyNumberFormat="1" applyFont="1" applyFill="1" applyBorder="1" applyProtection="1"/>
    <xf numFmtId="0" fontId="1" fillId="0" borderId="5" xfId="0" applyFont="1" applyBorder="1" applyAlignment="1">
      <alignment horizontal="left"/>
    </xf>
    <xf numFmtId="0" fontId="1" fillId="0" borderId="4" xfId="0" applyFont="1" applyBorder="1" applyAlignment="1">
      <alignment horizontal="left"/>
    </xf>
    <xf numFmtId="165" fontId="1" fillId="0" borderId="4" xfId="2" applyNumberFormat="1" applyFont="1" applyFill="1" applyBorder="1" applyAlignment="1" applyProtection="1">
      <alignment horizontal="left"/>
    </xf>
    <xf numFmtId="165" fontId="1" fillId="0" borderId="4" xfId="2" applyNumberFormat="1" applyFill="1" applyBorder="1" applyAlignment="1" applyProtection="1">
      <alignment horizontal="left"/>
    </xf>
    <xf numFmtId="165" fontId="0" fillId="2" borderId="4" xfId="2" applyNumberFormat="1" applyFont="1" applyFill="1" applyBorder="1" applyProtection="1">
      <protection locked="0"/>
    </xf>
    <xf numFmtId="0" fontId="1" fillId="0" borderId="0" xfId="0" applyFont="1"/>
    <xf numFmtId="0" fontId="1" fillId="0" borderId="1" xfId="0" applyFont="1" applyBorder="1" applyAlignment="1">
      <alignment horizontal="left"/>
    </xf>
    <xf numFmtId="0" fontId="1" fillId="0" borderId="2" xfId="0" applyFont="1" applyBorder="1" applyAlignment="1">
      <alignment horizontal="left"/>
    </xf>
    <xf numFmtId="165" fontId="0" fillId="2" borderId="4" xfId="0" applyNumberFormat="1" applyFill="1" applyBorder="1" applyProtection="1">
      <protection locked="0"/>
    </xf>
    <xf numFmtId="165" fontId="1" fillId="0" borderId="4" xfId="0" applyNumberFormat="1" applyFont="1" applyBorder="1"/>
    <xf numFmtId="0" fontId="3" fillId="0" borderId="0" xfId="0" applyFont="1" applyAlignment="1">
      <alignment horizontal="center" vertical="center"/>
    </xf>
    <xf numFmtId="0" fontId="4" fillId="0" borderId="0" xfId="0" applyFont="1" applyAlignment="1">
      <alignment horizontal="left"/>
    </xf>
    <xf numFmtId="0" fontId="1" fillId="0" borderId="0" xfId="0" applyFont="1" applyAlignment="1">
      <alignment wrapText="1"/>
    </xf>
    <xf numFmtId="165" fontId="1" fillId="4" borderId="4" xfId="1" applyNumberFormat="1" applyFont="1" applyFill="1" applyBorder="1" applyProtection="1">
      <protection locked="0"/>
    </xf>
    <xf numFmtId="0" fontId="1" fillId="0" borderId="4" xfId="0" applyFont="1" applyBorder="1"/>
    <xf numFmtId="0" fontId="1" fillId="0" borderId="4" xfId="0" applyFont="1" applyBorder="1" applyAlignment="1">
      <alignment horizontal="left" wrapText="1"/>
    </xf>
    <xf numFmtId="0" fontId="1" fillId="0" borderId="0" xfId="0" applyFont="1" applyAlignment="1">
      <alignment vertical="center" wrapText="1"/>
    </xf>
    <xf numFmtId="165" fontId="4" fillId="0" borderId="5" xfId="2" applyNumberFormat="1" applyFont="1" applyBorder="1" applyProtection="1"/>
    <xf numFmtId="165" fontId="4" fillId="0" borderId="0" xfId="2" applyNumberFormat="1" applyFont="1" applyBorder="1" applyProtection="1"/>
    <xf numFmtId="167" fontId="1" fillId="0" borderId="0" xfId="1" applyNumberFormat="1" applyFont="1" applyFill="1" applyBorder="1" applyProtection="1"/>
    <xf numFmtId="165" fontId="1" fillId="2" borderId="4" xfId="2" applyNumberFormat="1" applyFont="1" applyFill="1" applyBorder="1" applyProtection="1">
      <protection locked="0"/>
    </xf>
    <xf numFmtId="165" fontId="1" fillId="0" borderId="4" xfId="2" applyNumberFormat="1" applyFill="1" applyBorder="1" applyProtection="1"/>
    <xf numFmtId="0" fontId="0" fillId="0" borderId="7" xfId="0" applyBorder="1"/>
    <xf numFmtId="0" fontId="4" fillId="0" borderId="9" xfId="0" applyFont="1" applyBorder="1" applyAlignment="1">
      <alignment horizontal="left"/>
    </xf>
    <xf numFmtId="0" fontId="4" fillId="0" borderId="10" xfId="0" applyFont="1" applyBorder="1" applyAlignment="1">
      <alignment horizontal="left"/>
    </xf>
    <xf numFmtId="0" fontId="0" fillId="0" borderId="0" xfId="0" applyAlignment="1">
      <alignment horizontal="center" vertical="top"/>
    </xf>
    <xf numFmtId="0" fontId="0" fillId="0" borderId="0" xfId="0" quotePrefix="1" applyAlignment="1">
      <alignment horizontal="center" vertical="top"/>
    </xf>
    <xf numFmtId="0" fontId="0" fillId="0" borderId="0" xfId="0" quotePrefix="1" applyAlignment="1">
      <alignment horizontal="center" vertical="top" wrapText="1"/>
    </xf>
    <xf numFmtId="0" fontId="1" fillId="0" borderId="0" xfId="0" quotePrefix="1" applyFont="1" applyAlignment="1">
      <alignment horizontal="center" vertical="top"/>
    </xf>
    <xf numFmtId="0" fontId="4" fillId="0" borderId="0" xfId="0" quotePrefix="1" applyFont="1" applyAlignment="1">
      <alignment horizontal="center" vertical="top" wrapText="1"/>
    </xf>
    <xf numFmtId="165" fontId="4" fillId="0" borderId="2" xfId="2" applyNumberFormat="1" applyFont="1" applyBorder="1" applyProtection="1"/>
    <xf numFmtId="0" fontId="0" fillId="0" borderId="4" xfId="0" applyBorder="1" applyAlignment="1">
      <alignment horizontal="left" shrinkToFit="1"/>
    </xf>
    <xf numFmtId="0" fontId="1" fillId="0" borderId="5" xfId="0" applyFont="1" applyBorder="1" applyAlignment="1">
      <alignment horizontal="left" shrinkToFit="1"/>
    </xf>
    <xf numFmtId="165" fontId="0" fillId="0" borderId="5" xfId="2" applyNumberFormat="1" applyFont="1" applyBorder="1" applyAlignment="1" applyProtection="1"/>
    <xf numFmtId="9" fontId="0" fillId="2" borderId="5" xfId="3" applyFont="1" applyFill="1" applyBorder="1" applyAlignment="1" applyProtection="1">
      <protection locked="0"/>
    </xf>
    <xf numFmtId="3" fontId="1" fillId="0" borderId="0" xfId="0" applyNumberFormat="1" applyFont="1"/>
    <xf numFmtId="0" fontId="4" fillId="0" borderId="5" xfId="0" applyFont="1" applyBorder="1"/>
    <xf numFmtId="165" fontId="1" fillId="0" borderId="9" xfId="2" applyNumberFormat="1" applyFill="1" applyBorder="1" applyAlignment="1" applyProtection="1">
      <alignment horizontal="right"/>
    </xf>
    <xf numFmtId="165" fontId="1" fillId="0" borderId="9" xfId="2" applyNumberFormat="1" applyFont="1" applyFill="1" applyBorder="1" applyAlignment="1" applyProtection="1">
      <alignment horizontal="right"/>
    </xf>
    <xf numFmtId="0" fontId="4" fillId="0" borderId="5" xfId="0" applyFont="1" applyBorder="1" applyAlignment="1">
      <alignment horizontal="left" shrinkToFit="1"/>
    </xf>
    <xf numFmtId="165" fontId="4" fillId="0" borderId="5" xfId="2" applyNumberFormat="1" applyFont="1" applyBorder="1" applyAlignment="1" applyProtection="1"/>
    <xf numFmtId="165" fontId="4" fillId="0" borderId="5" xfId="2" applyNumberFormat="1" applyFont="1" applyFill="1" applyBorder="1" applyProtection="1"/>
    <xf numFmtId="165" fontId="4" fillId="0" borderId="4" xfId="2" applyNumberFormat="1" applyFont="1" applyFill="1" applyBorder="1" applyAlignment="1" applyProtection="1">
      <alignment horizontal="left"/>
    </xf>
    <xf numFmtId="165" fontId="4" fillId="0" borderId="4" xfId="2" applyNumberFormat="1" applyFont="1" applyFill="1" applyBorder="1" applyProtection="1"/>
    <xf numFmtId="0" fontId="1" fillId="0" borderId="9" xfId="0" applyFont="1" applyBorder="1"/>
    <xf numFmtId="165" fontId="4" fillId="0" borderId="4" xfId="2" applyNumberFormat="1" applyFont="1" applyBorder="1" applyAlignment="1" applyProtection="1"/>
    <xf numFmtId="0" fontId="4" fillId="0" borderId="9" xfId="0" applyFont="1" applyBorder="1"/>
    <xf numFmtId="165" fontId="4" fillId="0" borderId="5" xfId="2" applyNumberFormat="1" applyFont="1" applyFill="1" applyBorder="1" applyAlignment="1" applyProtection="1"/>
    <xf numFmtId="9" fontId="1" fillId="2" borderId="5" xfId="3" applyFont="1" applyFill="1" applyBorder="1" applyAlignment="1" applyProtection="1">
      <protection locked="0"/>
    </xf>
    <xf numFmtId="0" fontId="4" fillId="6" borderId="4" xfId="0" applyFont="1" applyFill="1" applyBorder="1" applyAlignment="1">
      <alignment horizontal="left"/>
    </xf>
    <xf numFmtId="165" fontId="4" fillId="6" borderId="4" xfId="2" applyNumberFormat="1" applyFont="1" applyFill="1" applyBorder="1" applyProtection="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2" xfId="0" applyFont="1" applyBorder="1" applyAlignment="1">
      <alignment horizontal="left"/>
    </xf>
    <xf numFmtId="0" fontId="2" fillId="0" borderId="3" xfId="0" applyFont="1" applyBorder="1" applyAlignment="1">
      <alignment horizontal="center"/>
    </xf>
    <xf numFmtId="0" fontId="14" fillId="0" borderId="0" xfId="0" applyFont="1"/>
    <xf numFmtId="164" fontId="1" fillId="0" borderId="10" xfId="3" applyNumberFormat="1" applyFill="1" applyBorder="1" applyAlignment="1" applyProtection="1"/>
    <xf numFmtId="0" fontId="3" fillId="0" borderId="0" xfId="0" applyFont="1" applyAlignment="1">
      <alignment horizontal="left" vertical="center"/>
    </xf>
    <xf numFmtId="164" fontId="1" fillId="0" borderId="0" xfId="3" applyNumberFormat="1" applyFill="1" applyBorder="1" applyAlignment="1" applyProtection="1"/>
    <xf numFmtId="9" fontId="4" fillId="0" borderId="5" xfId="0" applyNumberFormat="1" applyFont="1" applyBorder="1"/>
    <xf numFmtId="9" fontId="0" fillId="0" borderId="5" xfId="0" applyNumberFormat="1" applyBorder="1"/>
    <xf numFmtId="9" fontId="0" fillId="0" borderId="5" xfId="3" applyFont="1" applyFill="1" applyBorder="1" applyAlignment="1" applyProtection="1"/>
    <xf numFmtId="0" fontId="4" fillId="0" borderId="14" xfId="0" applyFont="1" applyBorder="1" applyAlignment="1">
      <alignment horizontal="left"/>
    </xf>
    <xf numFmtId="0" fontId="1" fillId="0" borderId="1" xfId="0" applyFont="1" applyBorder="1"/>
    <xf numFmtId="0" fontId="1" fillId="0" borderId="4" xfId="0" quotePrefix="1" applyFont="1" applyBorder="1" applyAlignment="1">
      <alignment horizontal="left"/>
    </xf>
    <xf numFmtId="0" fontId="4" fillId="0" borderId="9" xfId="0" applyFont="1" applyBorder="1" applyAlignment="1">
      <alignment horizontal="left" indent="1"/>
    </xf>
    <xf numFmtId="165" fontId="0" fillId="0" borderId="4" xfId="1" applyNumberFormat="1" applyFont="1" applyFill="1" applyBorder="1" applyProtection="1"/>
    <xf numFmtId="0" fontId="4" fillId="0" borderId="0" xfId="0" applyFont="1" applyAlignment="1">
      <alignment horizontal="center" vertical="top"/>
    </xf>
    <xf numFmtId="0" fontId="4" fillId="0" borderId="0" xfId="0" applyFont="1"/>
    <xf numFmtId="167" fontId="4" fillId="0" borderId="0" xfId="4" applyNumberFormat="1" applyFont="1" applyFill="1" applyBorder="1" applyProtection="1"/>
    <xf numFmtId="0" fontId="1" fillId="0" borderId="0" xfId="0" applyFont="1" applyAlignment="1">
      <alignment horizontal="center" vertical="top"/>
    </xf>
    <xf numFmtId="0" fontId="1" fillId="0" borderId="0" xfId="5"/>
    <xf numFmtId="0" fontId="4" fillId="0" borderId="4" xfId="0" applyFont="1" applyBorder="1" applyAlignment="1">
      <alignment wrapText="1"/>
    </xf>
    <xf numFmtId="9" fontId="4" fillId="0" borderId="4" xfId="0" applyNumberFormat="1" applyFont="1" applyBorder="1"/>
    <xf numFmtId="0" fontId="4" fillId="0" borderId="4" xfId="0" applyFont="1" applyBorder="1" applyAlignment="1">
      <alignment horizontal="left" indent="1"/>
    </xf>
    <xf numFmtId="165" fontId="4" fillId="0" borderId="4" xfId="1" applyNumberFormat="1" applyFont="1" applyFill="1" applyBorder="1" applyProtection="1"/>
    <xf numFmtId="9" fontId="0" fillId="0" borderId="4" xfId="3" applyFont="1" applyFill="1" applyBorder="1" applyAlignment="1" applyProtection="1"/>
    <xf numFmtId="9" fontId="0" fillId="0" borderId="4" xfId="0" applyNumberFormat="1" applyBorder="1"/>
    <xf numFmtId="0" fontId="4" fillId="0" borderId="1" xfId="0" applyFont="1" applyBorder="1"/>
    <xf numFmtId="165" fontId="4" fillId="0" borderId="4" xfId="0" applyNumberFormat="1" applyFont="1" applyBorder="1"/>
    <xf numFmtId="165" fontId="1" fillId="0" borderId="4" xfId="2" applyNumberFormat="1" applyFont="1" applyBorder="1" applyAlignment="1" applyProtection="1">
      <alignment horizontal="center"/>
    </xf>
    <xf numFmtId="165" fontId="1" fillId="0" borderId="2" xfId="2" applyNumberFormat="1" applyFont="1" applyFill="1" applyBorder="1" applyAlignment="1" applyProtection="1">
      <alignment horizontal="left"/>
    </xf>
    <xf numFmtId="0" fontId="4" fillId="0" borderId="12" xfId="0" applyFont="1" applyBorder="1"/>
    <xf numFmtId="165" fontId="1" fillId="0" borderId="4" xfId="2" applyNumberFormat="1" applyFont="1" applyFill="1" applyBorder="1" applyProtection="1"/>
    <xf numFmtId="0" fontId="1" fillId="4" borderId="4" xfId="0" applyFont="1" applyFill="1" applyBorder="1" applyAlignment="1" applyProtection="1">
      <alignment horizontal="center" vertical="distributed"/>
      <protection locked="0"/>
    </xf>
    <xf numFmtId="165" fontId="0" fillId="4" borderId="5" xfId="2" applyNumberFormat="1" applyFont="1" applyFill="1" applyBorder="1" applyAlignment="1" applyProtection="1">
      <alignment horizontal="left"/>
      <protection locked="0"/>
    </xf>
    <xf numFmtId="165" fontId="1" fillId="4" borderId="4" xfId="2" applyNumberFormat="1"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0" borderId="9" xfId="0" applyFont="1" applyBorder="1" applyAlignment="1">
      <alignment horizontal="left"/>
    </xf>
    <xf numFmtId="0" fontId="4" fillId="0" borderId="4" xfId="0" applyFont="1" applyBorder="1" applyAlignment="1">
      <alignment horizontal="left"/>
    </xf>
    <xf numFmtId="9" fontId="0" fillId="2" borderId="5" xfId="0" applyNumberFormat="1" applyFill="1" applyBorder="1" applyProtection="1">
      <protection locked="0"/>
    </xf>
    <xf numFmtId="0" fontId="4" fillId="0" borderId="2" xfId="0" applyFont="1" applyBorder="1"/>
    <xf numFmtId="0" fontId="0" fillId="0" borderId="2" xfId="0" applyBorder="1" applyAlignment="1">
      <alignment horizontal="left"/>
    </xf>
    <xf numFmtId="0" fontId="4" fillId="0" borderId="12" xfId="0" applyFont="1" applyBorder="1" applyAlignment="1">
      <alignment horizontal="left" shrinkToFit="1"/>
    </xf>
    <xf numFmtId="0" fontId="4" fillId="0" borderId="10" xfId="0" applyFont="1" applyBorder="1" applyAlignment="1">
      <alignment horizontal="left" indent="1"/>
    </xf>
    <xf numFmtId="0" fontId="0" fillId="0" borderId="2" xfId="0" applyBorder="1"/>
    <xf numFmtId="0" fontId="4" fillId="0" borderId="3" xfId="0" applyFont="1" applyBorder="1" applyAlignment="1">
      <alignment horizontal="center"/>
    </xf>
    <xf numFmtId="0" fontId="0" fillId="0" borderId="5" xfId="0" applyBorder="1"/>
    <xf numFmtId="165" fontId="1" fillId="0" borderId="4" xfId="2" quotePrefix="1" applyNumberFormat="1" applyFont="1" applyFill="1" applyBorder="1" applyProtection="1"/>
    <xf numFmtId="14" fontId="1" fillId="2" borderId="4" xfId="3" applyNumberFormat="1" applyFill="1" applyBorder="1" applyAlignment="1" applyProtection="1">
      <protection locked="0"/>
    </xf>
    <xf numFmtId="14" fontId="4" fillId="0" borderId="4" xfId="0" applyNumberFormat="1" applyFont="1" applyBorder="1" applyAlignment="1" applyProtection="1">
      <alignment horizontal="center"/>
      <protection hidden="1"/>
    </xf>
    <xf numFmtId="166" fontId="1" fillId="0" borderId="4" xfId="2" applyNumberFormat="1" applyFill="1" applyBorder="1" applyAlignment="1" applyProtection="1">
      <protection locked="0"/>
    </xf>
    <xf numFmtId="167" fontId="0" fillId="0" borderId="4" xfId="1" applyNumberFormat="1" applyFont="1" applyFill="1" applyBorder="1" applyAlignment="1" applyProtection="1">
      <protection locked="0"/>
    </xf>
    <xf numFmtId="165" fontId="0" fillId="0" borderId="4" xfId="2" applyNumberFormat="1" applyFont="1" applyBorder="1" applyAlignment="1" applyProtection="1">
      <alignment horizontal="left"/>
    </xf>
    <xf numFmtId="0" fontId="4" fillId="0" borderId="13" xfId="0" applyFont="1" applyBorder="1"/>
    <xf numFmtId="0" fontId="4" fillId="0" borderId="8" xfId="0" applyFont="1" applyBorder="1"/>
    <xf numFmtId="165" fontId="4" fillId="0" borderId="11" xfId="2" applyNumberFormat="1" applyFont="1" applyFill="1" applyBorder="1" applyProtection="1"/>
    <xf numFmtId="165" fontId="4" fillId="0" borderId="22" xfId="2" applyNumberFormat="1" applyFont="1" applyFill="1" applyBorder="1" applyProtection="1"/>
    <xf numFmtId="165" fontId="4" fillId="0" borderId="2" xfId="2" applyNumberFormat="1" applyFont="1" applyFill="1" applyBorder="1" applyProtection="1"/>
    <xf numFmtId="165" fontId="4" fillId="0" borderId="12" xfId="2" applyNumberFormat="1" applyFont="1" applyFill="1" applyBorder="1" applyProtection="1"/>
    <xf numFmtId="165" fontId="4" fillId="0" borderId="23" xfId="2" applyNumberFormat="1" applyFont="1" applyFill="1" applyBorder="1" applyProtection="1"/>
    <xf numFmtId="9" fontId="0" fillId="0" borderId="4" xfId="3" applyFont="1" applyFill="1" applyBorder="1" applyProtection="1"/>
    <xf numFmtId="9" fontId="2" fillId="0" borderId="2" xfId="0" applyNumberFormat="1" applyFont="1" applyBorder="1" applyAlignment="1">
      <alignment horizontal="right"/>
    </xf>
    <xf numFmtId="9" fontId="4" fillId="0" borderId="10" xfId="0" applyNumberFormat="1" applyFont="1" applyBorder="1" applyAlignment="1">
      <alignment horizontal="left"/>
    </xf>
    <xf numFmtId="9" fontId="0" fillId="0" borderId="8" xfId="0" applyNumberFormat="1" applyBorder="1" applyAlignment="1">
      <alignment horizontal="center" wrapText="1"/>
    </xf>
    <xf numFmtId="9" fontId="4" fillId="0" borderId="2" xfId="0" applyNumberFormat="1" applyFont="1" applyBorder="1" applyAlignment="1">
      <alignment horizontal="left"/>
    </xf>
    <xf numFmtId="9" fontId="0" fillId="0" borderId="2" xfId="3" applyFont="1" applyFill="1" applyBorder="1" applyProtection="1"/>
    <xf numFmtId="9" fontId="4" fillId="0" borderId="4" xfId="0" applyNumberFormat="1" applyFont="1" applyBorder="1" applyAlignment="1">
      <alignment horizontal="center"/>
    </xf>
    <xf numFmtId="9" fontId="4" fillId="0" borderId="2" xfId="1" applyNumberFormat="1" applyFont="1" applyBorder="1" applyAlignment="1" applyProtection="1">
      <alignment horizontal="left"/>
    </xf>
    <xf numFmtId="9" fontId="1" fillId="0" borderId="10" xfId="0" applyNumberFormat="1" applyFont="1" applyBorder="1" applyAlignment="1">
      <alignment horizontal="left"/>
    </xf>
    <xf numFmtId="9" fontId="0" fillId="0" borderId="0" xfId="0" applyNumberFormat="1"/>
    <xf numFmtId="9" fontId="0" fillId="0" borderId="7" xfId="0" applyNumberFormat="1" applyBorder="1"/>
    <xf numFmtId="9" fontId="2" fillId="0" borderId="2" xfId="0" applyNumberFormat="1" applyFont="1" applyBorder="1" applyAlignment="1">
      <alignment horizontal="center"/>
    </xf>
    <xf numFmtId="9" fontId="4" fillId="0" borderId="0" xfId="2" applyNumberFormat="1" applyFont="1" applyBorder="1" applyProtection="1"/>
    <xf numFmtId="9" fontId="1" fillId="0" borderId="10" xfId="3" applyFill="1" applyBorder="1" applyAlignment="1" applyProtection="1"/>
    <xf numFmtId="9" fontId="1" fillId="0" borderId="0" xfId="3" applyFill="1" applyBorder="1" applyAlignment="1" applyProtection="1"/>
    <xf numFmtId="9" fontId="2" fillId="0" borderId="2" xfId="0" applyNumberFormat="1" applyFont="1" applyBorder="1" applyAlignment="1">
      <alignment horizontal="left"/>
    </xf>
    <xf numFmtId="9" fontId="4" fillId="0" borderId="3" xfId="0" applyNumberFormat="1" applyFont="1" applyBorder="1" applyAlignment="1">
      <alignment horizontal="center"/>
    </xf>
    <xf numFmtId="9" fontId="4" fillId="0" borderId="7" xfId="2" applyNumberFormat="1" applyFont="1" applyBorder="1" applyProtection="1"/>
    <xf numFmtId="9" fontId="4" fillId="0" borderId="7" xfId="0" applyNumberFormat="1" applyFont="1" applyBorder="1" applyAlignment="1">
      <alignment horizontal="center"/>
    </xf>
    <xf numFmtId="9" fontId="1" fillId="0" borderId="4" xfId="0" applyNumberFormat="1" applyFont="1" applyBorder="1" applyAlignment="1">
      <alignment horizontal="center" wrapText="1"/>
    </xf>
    <xf numFmtId="9" fontId="1" fillId="0" borderId="24" xfId="0" applyNumberFormat="1" applyFont="1" applyBorder="1" applyAlignment="1" applyProtection="1">
      <alignment horizontal="center" vertical="distributed"/>
      <protection locked="0"/>
    </xf>
    <xf numFmtId="9" fontId="1" fillId="0" borderId="25" xfId="0" applyNumberFormat="1" applyFont="1" applyBorder="1" applyAlignment="1" applyProtection="1">
      <alignment horizontal="center" vertical="distributed"/>
      <protection locked="0"/>
    </xf>
    <xf numFmtId="0" fontId="4" fillId="0" borderId="12" xfId="0" applyFont="1" applyBorder="1" applyAlignment="1">
      <alignment horizontal="left"/>
    </xf>
    <xf numFmtId="0" fontId="5" fillId="0" borderId="13" xfId="0" applyFont="1" applyBorder="1" applyAlignment="1">
      <alignment horizontal="center" wrapText="1"/>
    </xf>
    <xf numFmtId="9" fontId="1" fillId="0" borderId="26" xfId="0" applyNumberFormat="1" applyFont="1" applyBorder="1" applyAlignment="1" applyProtection="1">
      <alignment horizontal="center" vertical="distributed"/>
      <protection locked="0"/>
    </xf>
    <xf numFmtId="14" fontId="4" fillId="0" borderId="4" xfId="0" applyNumberFormat="1" applyFont="1" applyBorder="1" applyAlignment="1">
      <alignment horizontal="center"/>
    </xf>
    <xf numFmtId="0" fontId="4" fillId="0" borderId="16" xfId="0" applyFont="1" applyBorder="1"/>
    <xf numFmtId="0" fontId="7" fillId="5" borderId="0" xfId="0" applyFont="1" applyFill="1"/>
    <xf numFmtId="9" fontId="7" fillId="5" borderId="0" xfId="0" applyNumberFormat="1" applyFont="1" applyFill="1"/>
    <xf numFmtId="0" fontId="4" fillId="5" borderId="0" xfId="0" applyFont="1" applyFill="1"/>
    <xf numFmtId="9" fontId="0" fillId="4" borderId="5" xfId="3" applyFont="1" applyFill="1" applyBorder="1" applyAlignment="1" applyProtection="1">
      <protection locked="0"/>
    </xf>
    <xf numFmtId="0" fontId="3" fillId="4" borderId="4" xfId="0" applyFont="1" applyFill="1" applyBorder="1" applyProtection="1">
      <protection locked="0"/>
    </xf>
    <xf numFmtId="9" fontId="0" fillId="0" borderId="4" xfId="0" applyNumberFormat="1" applyBorder="1" applyAlignment="1">
      <alignment horizontal="center"/>
    </xf>
    <xf numFmtId="0" fontId="4" fillId="0" borderId="29" xfId="0" applyFont="1" applyBorder="1" applyAlignment="1">
      <alignment horizontal="left"/>
    </xf>
    <xf numFmtId="9" fontId="4" fillId="0" borderId="29" xfId="0" applyNumberFormat="1" applyFont="1" applyBorder="1" applyAlignment="1">
      <alignment horizontal="left"/>
    </xf>
    <xf numFmtId="9" fontId="4" fillId="0" borderId="18" xfId="0" applyNumberFormat="1" applyFont="1" applyBorder="1" applyAlignment="1">
      <alignment horizontal="left"/>
    </xf>
    <xf numFmtId="0" fontId="4" fillId="0" borderId="24" xfId="0" applyFont="1" applyBorder="1"/>
    <xf numFmtId="0" fontId="1" fillId="0" borderId="2" xfId="0" applyFont="1" applyBorder="1" applyAlignment="1">
      <alignment horizontal="right"/>
    </xf>
    <xf numFmtId="0" fontId="1" fillId="0" borderId="3" xfId="0" applyFont="1" applyBorder="1" applyAlignment="1">
      <alignment horizontal="left"/>
    </xf>
    <xf numFmtId="14" fontId="4" fillId="0" borderId="2" xfId="0" applyNumberFormat="1" applyFont="1" applyBorder="1" applyAlignment="1">
      <alignment horizontal="left"/>
    </xf>
    <xf numFmtId="165" fontId="0" fillId="0" borderId="5" xfId="2" applyNumberFormat="1" applyFont="1" applyFill="1" applyBorder="1" applyAlignment="1" applyProtection="1">
      <alignment horizontal="left"/>
      <protection locked="0"/>
    </xf>
    <xf numFmtId="165" fontId="0" fillId="8" borderId="4" xfId="2" applyNumberFormat="1" applyFont="1" applyFill="1" applyBorder="1" applyProtection="1"/>
    <xf numFmtId="165" fontId="1" fillId="4" borderId="4" xfId="2" applyNumberFormat="1" applyFill="1" applyBorder="1" applyAlignment="1" applyProtection="1">
      <alignment horizontal="left"/>
      <protection locked="0"/>
    </xf>
    <xf numFmtId="0" fontId="0" fillId="4" borderId="4" xfId="0" applyFill="1" applyBorder="1" applyAlignment="1" applyProtection="1">
      <alignment horizontal="center"/>
      <protection locked="0"/>
    </xf>
    <xf numFmtId="44" fontId="4" fillId="0" borderId="5" xfId="2" applyFont="1" applyFill="1" applyBorder="1" applyProtection="1"/>
    <xf numFmtId="167" fontId="1" fillId="0" borderId="4" xfId="1" applyNumberFormat="1" applyFill="1" applyBorder="1" applyProtection="1"/>
    <xf numFmtId="44" fontId="0" fillId="0" borderId="4" xfId="2" applyFont="1" applyFill="1" applyBorder="1" applyProtection="1"/>
    <xf numFmtId="165" fontId="1" fillId="0" borderId="4" xfId="0" applyNumberFormat="1" applyFont="1" applyBorder="1" applyAlignment="1">
      <alignment horizontal="center"/>
    </xf>
    <xf numFmtId="44" fontId="1" fillId="0" borderId="4" xfId="0" applyNumberFormat="1" applyFont="1" applyBorder="1" applyAlignment="1">
      <alignment horizontal="center"/>
    </xf>
    <xf numFmtId="0" fontId="1" fillId="0" borderId="4" xfId="0" applyFont="1" applyBorder="1" applyProtection="1">
      <protection locked="0"/>
    </xf>
    <xf numFmtId="0" fontId="8" fillId="5" borderId="0" xfId="0" applyFont="1" applyFill="1"/>
    <xf numFmtId="14" fontId="4" fillId="0" borderId="17" xfId="0" applyNumberFormat="1" applyFont="1" applyBorder="1" applyAlignment="1">
      <alignment horizontal="right"/>
    </xf>
    <xf numFmtId="0" fontId="17" fillId="0" borderId="4" xfId="0" applyFont="1" applyBorder="1"/>
    <xf numFmtId="0" fontId="1" fillId="4" borderId="4" xfId="0" applyFont="1" applyFill="1" applyBorder="1" applyProtection="1">
      <protection locked="0"/>
    </xf>
    <xf numFmtId="165" fontId="1" fillId="7" borderId="4" xfId="2" applyNumberFormat="1" applyFont="1" applyFill="1" applyBorder="1" applyProtection="1"/>
    <xf numFmtId="165" fontId="1" fillId="7" borderId="4" xfId="2" applyNumberFormat="1" applyFont="1" applyFill="1" applyBorder="1" applyAlignment="1" applyProtection="1">
      <alignment horizontal="left"/>
    </xf>
    <xf numFmtId="0" fontId="1" fillId="0" borderId="27" xfId="0" applyFont="1" applyBorder="1" applyAlignment="1">
      <alignment horizontal="center" vertical="distributed"/>
    </xf>
    <xf numFmtId="0" fontId="1" fillId="0" borderId="18" xfId="0" applyFont="1" applyBorder="1" applyAlignment="1">
      <alignment horizontal="center" vertical="distributed"/>
    </xf>
    <xf numFmtId="0" fontId="1" fillId="0" borderId="16" xfId="0" applyFont="1" applyBorder="1" applyAlignment="1">
      <alignment horizontal="center" vertical="distributed"/>
    </xf>
    <xf numFmtId="0" fontId="1" fillId="0" borderId="4" xfId="0" applyFont="1" applyBorder="1" applyAlignment="1">
      <alignment horizontal="center" vertical="distributed"/>
    </xf>
    <xf numFmtId="0" fontId="1" fillId="0" borderId="28" xfId="0" applyFont="1" applyBorder="1" applyAlignment="1">
      <alignment horizontal="center" vertical="distributed"/>
    </xf>
    <xf numFmtId="0" fontId="1" fillId="0" borderId="15" xfId="0" applyFont="1" applyBorder="1" applyAlignment="1">
      <alignment horizontal="center" vertical="distributed"/>
    </xf>
    <xf numFmtId="9" fontId="1" fillId="0" borderId="4" xfId="3" applyFill="1" applyBorder="1" applyAlignment="1" applyProtection="1">
      <protection locked="0"/>
    </xf>
    <xf numFmtId="167" fontId="0" fillId="0" borderId="0" xfId="1" applyNumberFormat="1" applyFont="1" applyProtection="1"/>
    <xf numFmtId="167" fontId="16" fillId="0" borderId="0" xfId="0" applyNumberFormat="1" applyFont="1"/>
    <xf numFmtId="44" fontId="4" fillId="0" borderId="4" xfId="2" applyFont="1" applyFill="1" applyBorder="1" applyProtection="1"/>
    <xf numFmtId="168" fontId="0" fillId="0" borderId="0" xfId="0" applyNumberFormat="1"/>
    <xf numFmtId="0" fontId="16" fillId="0" borderId="0" xfId="0" applyFont="1"/>
    <xf numFmtId="165" fontId="1" fillId="0" borderId="4" xfId="2" applyNumberFormat="1" applyFill="1" applyBorder="1" applyAlignment="1" applyProtection="1">
      <alignment horizontal="left"/>
      <protection locked="0"/>
    </xf>
    <xf numFmtId="0" fontId="18" fillId="0" borderId="4" xfId="0" applyFont="1" applyBorder="1" applyAlignment="1" applyProtection="1">
      <alignment horizontal="center"/>
      <protection locked="0"/>
    </xf>
    <xf numFmtId="9" fontId="4" fillId="0" borderId="30" xfId="0" applyNumberFormat="1" applyFont="1" applyBorder="1" applyAlignment="1">
      <alignment horizontal="left"/>
    </xf>
    <xf numFmtId="14" fontId="4" fillId="0" borderId="30" xfId="0" applyNumberFormat="1" applyFont="1" applyBorder="1" applyAlignment="1">
      <alignment horizontal="right"/>
    </xf>
    <xf numFmtId="14" fontId="4" fillId="0" borderId="31" xfId="0" applyNumberFormat="1" applyFont="1" applyBorder="1" applyAlignment="1">
      <alignment horizontal="right"/>
    </xf>
    <xf numFmtId="37" fontId="1" fillId="0" borderId="19" xfId="0" applyNumberFormat="1" applyFont="1" applyBorder="1" applyAlignment="1">
      <alignment horizontal="center" vertical="distributed"/>
    </xf>
    <xf numFmtId="37" fontId="1" fillId="0" borderId="20" xfId="0" applyNumberFormat="1" applyFont="1" applyBorder="1" applyAlignment="1">
      <alignment horizontal="center" vertical="distributed"/>
    </xf>
    <xf numFmtId="37" fontId="1" fillId="0" borderId="21" xfId="0" applyNumberFormat="1" applyFont="1" applyBorder="1" applyAlignment="1">
      <alignment horizontal="center" vertical="distributed"/>
    </xf>
    <xf numFmtId="14" fontId="19" fillId="0" borderId="4" xfId="3" applyNumberFormat="1" applyFont="1" applyFill="1" applyBorder="1" applyAlignment="1" applyProtection="1">
      <protection locked="0"/>
    </xf>
    <xf numFmtId="14" fontId="1" fillId="0" borderId="4" xfId="3" applyNumberFormat="1" applyFill="1" applyBorder="1" applyAlignment="1" applyProtection="1"/>
    <xf numFmtId="9" fontId="1" fillId="0" borderId="4" xfId="3" applyFill="1" applyBorder="1" applyAlignment="1" applyProtection="1"/>
    <xf numFmtId="0" fontId="0" fillId="4" borderId="4" xfId="0" applyFill="1" applyBorder="1" applyProtection="1">
      <protection locked="0"/>
    </xf>
    <xf numFmtId="14" fontId="1" fillId="4" borderId="4" xfId="0" applyNumberFormat="1" applyFont="1" applyFill="1" applyBorder="1" applyProtection="1">
      <protection locked="0"/>
    </xf>
    <xf numFmtId="0" fontId="1" fillId="4" borderId="5" xfId="0" applyFont="1" applyFill="1" applyBorder="1" applyProtection="1">
      <protection locked="0"/>
    </xf>
    <xf numFmtId="165" fontId="0" fillId="0" borderId="4" xfId="2" applyNumberFormat="1" applyFont="1" applyFill="1" applyBorder="1" applyAlignment="1" applyProtection="1"/>
    <xf numFmtId="165" fontId="1" fillId="0" borderId="4" xfId="2" applyNumberFormat="1" applyFill="1" applyBorder="1" applyAlignment="1" applyProtection="1"/>
    <xf numFmtId="9" fontId="0" fillId="0" borderId="1" xfId="3" applyFont="1" applyFill="1" applyBorder="1" applyProtection="1"/>
    <xf numFmtId="165" fontId="4" fillId="0" borderId="5" xfId="0" applyNumberFormat="1" applyFont="1" applyBorder="1"/>
    <xf numFmtId="165" fontId="4" fillId="0" borderId="10" xfId="2" applyNumberFormat="1" applyFont="1" applyFill="1" applyBorder="1" applyProtection="1"/>
    <xf numFmtId="165" fontId="4" fillId="0" borderId="16" xfId="2" applyNumberFormat="1" applyFont="1" applyFill="1" applyBorder="1" applyProtection="1"/>
    <xf numFmtId="14" fontId="4" fillId="0" borderId="3" xfId="0" applyNumberFormat="1" applyFont="1" applyBorder="1" applyAlignment="1">
      <alignment horizontal="center"/>
    </xf>
    <xf numFmtId="0" fontId="8" fillId="0" borderId="0" xfId="0" applyFont="1"/>
    <xf numFmtId="0" fontId="15" fillId="0" borderId="0" xfId="0" applyFont="1"/>
    <xf numFmtId="0" fontId="8" fillId="0" borderId="0" xfId="0" applyFont="1" applyAlignment="1">
      <alignment horizontal="left"/>
    </xf>
    <xf numFmtId="0" fontId="8" fillId="0" borderId="0" xfId="0" applyFont="1" applyProtection="1">
      <protection locked="0"/>
    </xf>
    <xf numFmtId="0" fontId="8" fillId="0" borderId="0" xfId="0" applyFont="1" applyAlignment="1">
      <alignment wrapText="1"/>
    </xf>
    <xf numFmtId="0" fontId="15" fillId="0" borderId="0" xfId="0" applyFont="1" applyAlignment="1">
      <alignment horizontal="center" vertical="top"/>
    </xf>
    <xf numFmtId="0" fontId="15" fillId="0" borderId="0" xfId="0" quotePrefix="1" applyFont="1" applyAlignment="1">
      <alignment horizontal="center" vertical="top"/>
    </xf>
    <xf numFmtId="0" fontId="20" fillId="0" borderId="0" xfId="0" applyFont="1"/>
    <xf numFmtId="167" fontId="15" fillId="0" borderId="0" xfId="0" applyNumberFormat="1" applyFont="1"/>
    <xf numFmtId="3" fontId="8" fillId="0" borderId="0" xfId="0" applyNumberFormat="1" applyFont="1"/>
    <xf numFmtId="9" fontId="15" fillId="0" borderId="0" xfId="3" applyFont="1" applyFill="1" applyBorder="1" applyProtection="1"/>
    <xf numFmtId="165" fontId="8" fillId="0" borderId="0" xfId="2" applyNumberFormat="1" applyFont="1" applyFill="1" applyBorder="1" applyProtection="1"/>
    <xf numFmtId="9" fontId="8" fillId="0" borderId="0" xfId="0" applyNumberFormat="1" applyFont="1" applyAlignment="1">
      <alignment horizontal="left"/>
    </xf>
    <xf numFmtId="165" fontId="15" fillId="0" borderId="0" xfId="2" applyNumberFormat="1" applyFont="1" applyFill="1" applyBorder="1" applyProtection="1"/>
    <xf numFmtId="0" fontId="21" fillId="0" borderId="0" xfId="0" applyFont="1"/>
    <xf numFmtId="9" fontId="21" fillId="0" borderId="0" xfId="0" applyNumberFormat="1" applyFont="1"/>
    <xf numFmtId="164" fontId="15" fillId="0" borderId="0" xfId="3" applyNumberFormat="1" applyFont="1" applyFill="1" applyBorder="1" applyAlignment="1" applyProtection="1"/>
    <xf numFmtId="9" fontId="15" fillId="0" borderId="0" xfId="3" applyFont="1" applyFill="1" applyBorder="1" applyAlignment="1" applyProtection="1"/>
    <xf numFmtId="9" fontId="15" fillId="0" borderId="0" xfId="0" applyNumberFormat="1" applyFont="1"/>
    <xf numFmtId="0" fontId="22" fillId="0" borderId="0" xfId="0" applyFont="1" applyAlignment="1">
      <alignment horizontal="left" vertical="center"/>
    </xf>
    <xf numFmtId="165" fontId="4" fillId="0" borderId="0" xfId="2" applyNumberFormat="1" applyFont="1" applyFill="1" applyBorder="1" applyProtection="1"/>
    <xf numFmtId="9" fontId="8" fillId="0" borderId="0" xfId="0" applyNumberFormat="1" applyFont="1"/>
    <xf numFmtId="0" fontId="8" fillId="0" borderId="0" xfId="0" applyFont="1" applyAlignment="1">
      <alignment horizontal="center" vertical="top"/>
    </xf>
    <xf numFmtId="14" fontId="4" fillId="0" borderId="0" xfId="0" applyNumberFormat="1" applyFont="1"/>
    <xf numFmtId="0" fontId="0" fillId="0" borderId="33" xfId="0" applyBorder="1"/>
    <xf numFmtId="0" fontId="4" fillId="0" borderId="33" xfId="0" applyFont="1" applyBorder="1"/>
    <xf numFmtId="14" fontId="4" fillId="10" borderId="0" xfId="0" applyNumberFormat="1" applyFont="1" applyFill="1"/>
    <xf numFmtId="9" fontId="4" fillId="10" borderId="0" xfId="0" applyNumberFormat="1" applyFont="1" applyFill="1"/>
    <xf numFmtId="44" fontId="0" fillId="0" borderId="0" xfId="0" applyNumberFormat="1"/>
    <xf numFmtId="165" fontId="0" fillId="0" borderId="0" xfId="0" applyNumberFormat="1"/>
    <xf numFmtId="9" fontId="0" fillId="0" borderId="0" xfId="3" applyFont="1" applyProtection="1"/>
    <xf numFmtId="0" fontId="4" fillId="0" borderId="0" xfId="0" applyFont="1" applyAlignment="1">
      <alignment horizontal="center" vertical="center" wrapText="1"/>
    </xf>
    <xf numFmtId="0" fontId="0" fillId="11" borderId="0" xfId="2" applyNumberFormat="1" applyFont="1" applyFill="1" applyAlignment="1" applyProtection="1"/>
    <xf numFmtId="14" fontId="4" fillId="0" borderId="0" xfId="0" applyNumberFormat="1" applyFont="1" applyAlignment="1">
      <alignment horizontal="center"/>
    </xf>
    <xf numFmtId="14" fontId="4" fillId="0" borderId="0" xfId="0" applyNumberFormat="1" applyFont="1" applyAlignment="1">
      <alignment horizontal="center" vertical="center"/>
    </xf>
    <xf numFmtId="9" fontId="4" fillId="0" borderId="0" xfId="0" applyNumberFormat="1" applyFont="1" applyAlignment="1">
      <alignment horizontal="center" vertical="center"/>
    </xf>
    <xf numFmtId="0" fontId="0" fillId="0" borderId="0" xfId="3" applyNumberFormat="1" applyFont="1" applyFill="1" applyAlignment="1" applyProtection="1">
      <alignment horizontal="center" vertical="top"/>
    </xf>
    <xf numFmtId="0" fontId="0" fillId="0" borderId="0" xfId="3" applyNumberFormat="1" applyFont="1" applyProtection="1"/>
    <xf numFmtId="14" fontId="4" fillId="0" borderId="34" xfId="0" applyNumberFormat="1" applyFont="1" applyBorder="1" applyAlignment="1">
      <alignment horizontal="center"/>
    </xf>
    <xf numFmtId="14" fontId="4" fillId="0" borderId="35" xfId="0" applyNumberFormat="1" applyFont="1" applyBorder="1" applyAlignment="1">
      <alignment horizontal="center"/>
    </xf>
    <xf numFmtId="0" fontId="4" fillId="0" borderId="36" xfId="0" applyFont="1" applyBorder="1"/>
    <xf numFmtId="14" fontId="4" fillId="10" borderId="37" xfId="0" applyNumberFormat="1" applyFont="1" applyFill="1" applyBorder="1"/>
    <xf numFmtId="14" fontId="4" fillId="0" borderId="38" xfId="0" applyNumberFormat="1" applyFont="1" applyBorder="1"/>
    <xf numFmtId="169" fontId="0" fillId="12" borderId="37" xfId="2" applyNumberFormat="1" applyFont="1" applyFill="1" applyBorder="1" applyProtection="1"/>
    <xf numFmtId="169" fontId="0" fillId="12" borderId="0" xfId="2" applyNumberFormat="1" applyFont="1" applyFill="1" applyBorder="1" applyProtection="1"/>
    <xf numFmtId="169" fontId="0" fillId="0" borderId="38" xfId="2" applyNumberFormat="1" applyFont="1" applyBorder="1" applyProtection="1"/>
    <xf numFmtId="169" fontId="0" fillId="0" borderId="39" xfId="2" applyNumberFormat="1" applyFont="1" applyBorder="1" applyAlignment="1" applyProtection="1"/>
    <xf numFmtId="169" fontId="0" fillId="0" borderId="33" xfId="2" applyNumberFormat="1" applyFont="1" applyBorder="1" applyAlignment="1" applyProtection="1"/>
    <xf numFmtId="169" fontId="0" fillId="0" borderId="40" xfId="0" applyNumberFormat="1" applyBorder="1"/>
    <xf numFmtId="14" fontId="0" fillId="0" borderId="0" xfId="0" applyNumberFormat="1"/>
    <xf numFmtId="0" fontId="4" fillId="0" borderId="2" xfId="0" applyFont="1" applyBorder="1" applyAlignment="1">
      <alignment horizontal="center" vertical="center"/>
    </xf>
    <xf numFmtId="170" fontId="0" fillId="0" borderId="0" xfId="0" applyNumberFormat="1"/>
    <xf numFmtId="170" fontId="0" fillId="0" borderId="0" xfId="3" applyNumberFormat="1" applyFont="1" applyBorder="1" applyProtection="1"/>
    <xf numFmtId="164" fontId="0" fillId="0" borderId="0" xfId="0" applyNumberFormat="1"/>
    <xf numFmtId="164" fontId="0" fillId="0" borderId="0" xfId="3" applyNumberFormat="1" applyFont="1" applyProtection="1"/>
    <xf numFmtId="0" fontId="0" fillId="16" borderId="0" xfId="0" applyFill="1"/>
    <xf numFmtId="14" fontId="0" fillId="16" borderId="0" xfId="0" applyNumberFormat="1" applyFill="1"/>
    <xf numFmtId="165" fontId="0" fillId="16" borderId="0" xfId="2" applyNumberFormat="1" applyFont="1" applyFill="1" applyAlignment="1" applyProtection="1"/>
    <xf numFmtId="164" fontId="1" fillId="0" borderId="4" xfId="3" applyNumberFormat="1" applyFill="1" applyBorder="1" applyAlignment="1" applyProtection="1"/>
    <xf numFmtId="14" fontId="1" fillId="0" borderId="4" xfId="0" applyNumberFormat="1" applyFont="1" applyBorder="1"/>
    <xf numFmtId="9" fontId="1" fillId="0" borderId="5" xfId="3" applyFont="1" applyFill="1" applyBorder="1" applyAlignment="1" applyProtection="1"/>
    <xf numFmtId="165" fontId="0" fillId="0" borderId="4" xfId="2" applyNumberFormat="1" applyFont="1" applyFill="1" applyBorder="1" applyAlignment="1" applyProtection="1">
      <alignment horizontal="right"/>
    </xf>
    <xf numFmtId="166" fontId="1" fillId="0" borderId="4" xfId="2" applyNumberFormat="1" applyFill="1" applyBorder="1" applyAlignment="1" applyProtection="1"/>
    <xf numFmtId="0" fontId="3" fillId="0" borderId="4" xfId="0" applyFont="1" applyBorder="1"/>
    <xf numFmtId="0" fontId="0" fillId="0" borderId="4" xfId="0" applyBorder="1" applyAlignment="1">
      <alignment horizontal="center"/>
    </xf>
    <xf numFmtId="0" fontId="18" fillId="0" borderId="4" xfId="0" applyFont="1" applyBorder="1" applyAlignment="1">
      <alignment horizontal="center"/>
    </xf>
    <xf numFmtId="0" fontId="4" fillId="13" borderId="4" xfId="0" applyFont="1" applyFill="1" applyBorder="1" applyAlignment="1">
      <alignment horizontal="center"/>
    </xf>
    <xf numFmtId="0" fontId="26" fillId="0" borderId="0" xfId="0" applyFont="1"/>
    <xf numFmtId="165" fontId="0" fillId="0" borderId="0" xfId="2" applyNumberFormat="1" applyFont="1"/>
    <xf numFmtId="164" fontId="0" fillId="0" borderId="0" xfId="3" applyNumberFormat="1" applyFont="1"/>
    <xf numFmtId="165" fontId="17" fillId="0" borderId="0" xfId="6" applyNumberFormat="1" applyFont="1"/>
    <xf numFmtId="167" fontId="0" fillId="0" borderId="0" xfId="1" applyNumberFormat="1" applyFont="1"/>
    <xf numFmtId="0" fontId="28" fillId="0" borderId="0" xfId="0" applyFont="1" applyAlignment="1">
      <alignment horizontal="center"/>
    </xf>
    <xf numFmtId="0" fontId="9" fillId="18" borderId="4" xfId="0" applyFont="1" applyFill="1" applyBorder="1" applyAlignment="1">
      <alignment horizontal="center"/>
    </xf>
    <xf numFmtId="165" fontId="1" fillId="0" borderId="2" xfId="2" applyNumberFormat="1" applyFont="1" applyBorder="1" applyAlignment="1" applyProtection="1">
      <alignment horizontal="center"/>
    </xf>
    <xf numFmtId="165" fontId="4" fillId="0" borderId="5" xfId="2" applyNumberFormat="1" applyFont="1" applyFill="1" applyBorder="1" applyAlignment="1" applyProtection="1">
      <alignment horizontal="left"/>
    </xf>
    <xf numFmtId="14" fontId="29" fillId="0" borderId="0" xfId="3" applyNumberFormat="1" applyFont="1" applyFill="1" applyBorder="1" applyAlignment="1" applyProtection="1"/>
    <xf numFmtId="0" fontId="1" fillId="0" borderId="0" xfId="0" applyFont="1" applyAlignment="1">
      <alignment horizontal="right"/>
    </xf>
    <xf numFmtId="14" fontId="9" fillId="18" borderId="4" xfId="0" applyNumberFormat="1" applyFont="1" applyFill="1" applyBorder="1" applyAlignment="1">
      <alignment horizontal="right"/>
    </xf>
    <xf numFmtId="0" fontId="4" fillId="9" borderId="4" xfId="0" applyFont="1" applyFill="1" applyBorder="1" applyAlignment="1">
      <alignment horizontal="center"/>
    </xf>
    <xf numFmtId="0" fontId="4" fillId="9" borderId="4" xfId="0" applyFont="1" applyFill="1" applyBorder="1"/>
    <xf numFmtId="0" fontId="4" fillId="9" borderId="4" xfId="0" applyFont="1" applyFill="1" applyBorder="1" applyAlignment="1">
      <alignment horizontal="center" vertical="distributed"/>
    </xf>
    <xf numFmtId="0" fontId="5" fillId="0" borderId="0" xfId="0" applyFont="1" applyAlignment="1">
      <alignment horizontal="center" wrapText="1"/>
    </xf>
    <xf numFmtId="9" fontId="3" fillId="0" borderId="0" xfId="0" applyNumberFormat="1" applyFont="1"/>
    <xf numFmtId="0" fontId="4" fillId="0" borderId="0" xfId="0" applyFont="1" applyAlignment="1">
      <alignment horizontal="center"/>
    </xf>
    <xf numFmtId="0" fontId="10" fillId="9" borderId="4" xfId="0" applyFont="1" applyFill="1" applyBorder="1" applyAlignment="1">
      <alignment wrapText="1"/>
    </xf>
    <xf numFmtId="0" fontId="0" fillId="9" borderId="4" xfId="0" applyFill="1" applyBorder="1"/>
    <xf numFmtId="164" fontId="1" fillId="9" borderId="4" xfId="3" applyNumberFormat="1" applyFill="1" applyBorder="1" applyAlignment="1" applyProtection="1"/>
    <xf numFmtId="43" fontId="0" fillId="0" borderId="4" xfId="1" applyFont="1" applyFill="1" applyBorder="1" applyAlignment="1" applyProtection="1">
      <protection locked="0"/>
    </xf>
    <xf numFmtId="165" fontId="4" fillId="0" borderId="9" xfId="2" applyNumberFormat="1" applyFont="1" applyFill="1" applyBorder="1" applyProtection="1"/>
    <xf numFmtId="0" fontId="10" fillId="0" borderId="0" xfId="0" quotePrefix="1" applyFont="1" applyAlignment="1">
      <alignment horizontal="right" vertical="top"/>
    </xf>
    <xf numFmtId="0" fontId="4" fillId="0" borderId="0" xfId="0" quotePrefix="1" applyFont="1" applyAlignment="1">
      <alignment horizontal="center" vertical="top"/>
    </xf>
    <xf numFmtId="170" fontId="4" fillId="0" borderId="0" xfId="0" applyNumberFormat="1" applyFont="1"/>
    <xf numFmtId="170" fontId="4" fillId="0" borderId="0" xfId="3" applyNumberFormat="1" applyFont="1" applyBorder="1" applyProtection="1"/>
    <xf numFmtId="0" fontId="4" fillId="15" borderId="5" xfId="0" applyFont="1" applyFill="1" applyBorder="1" applyAlignment="1">
      <alignment horizontal="left"/>
    </xf>
    <xf numFmtId="165" fontId="4" fillId="15" borderId="4" xfId="2" applyNumberFormat="1" applyFont="1" applyFill="1" applyBorder="1" applyProtection="1"/>
    <xf numFmtId="0" fontId="4" fillId="9" borderId="1" xfId="0" applyFont="1" applyFill="1" applyBorder="1" applyAlignment="1">
      <alignment horizontal="left"/>
    </xf>
    <xf numFmtId="0" fontId="4" fillId="9" borderId="2" xfId="0" applyFont="1" applyFill="1" applyBorder="1" applyAlignment="1">
      <alignment horizontal="left"/>
    </xf>
    <xf numFmtId="165" fontId="4" fillId="9" borderId="2" xfId="2" applyNumberFormat="1" applyFont="1" applyFill="1" applyBorder="1" applyProtection="1"/>
    <xf numFmtId="0" fontId="23" fillId="0" borderId="2" xfId="0" applyFont="1" applyBorder="1" applyAlignment="1">
      <alignment horizontal="left"/>
    </xf>
    <xf numFmtId="0" fontId="23" fillId="0" borderId="4" xfId="0" applyFont="1" applyBorder="1" applyAlignment="1">
      <alignment horizontal="left"/>
    </xf>
    <xf numFmtId="0" fontId="23" fillId="0" borderId="4" xfId="0" applyFont="1" applyBorder="1" applyAlignment="1">
      <alignment horizontal="left" wrapText="1"/>
    </xf>
    <xf numFmtId="0" fontId="23" fillId="0" borderId="4" xfId="0" applyFont="1" applyBorder="1"/>
    <xf numFmtId="165" fontId="4" fillId="15" borderId="1" xfId="2" applyNumberFormat="1" applyFont="1" applyFill="1" applyBorder="1" applyProtection="1"/>
    <xf numFmtId="165" fontId="4" fillId="0" borderId="7" xfId="2" applyNumberFormat="1" applyFont="1" applyFill="1" applyBorder="1" applyProtection="1"/>
    <xf numFmtId="0" fontId="23" fillId="0" borderId="3" xfId="0" applyFont="1" applyBorder="1" applyAlignment="1">
      <alignment horizontal="left"/>
    </xf>
    <xf numFmtId="0" fontId="24" fillId="0" borderId="4" xfId="0" applyFont="1" applyBorder="1" applyAlignment="1">
      <alignment horizontal="left"/>
    </xf>
    <xf numFmtId="43" fontId="1" fillId="0" borderId="16" xfId="1" applyFont="1" applyFill="1" applyBorder="1" applyAlignment="1" applyProtection="1">
      <alignment vertical="distributed"/>
    </xf>
    <xf numFmtId="43" fontId="1" fillId="0" borderId="4" xfId="1" applyFont="1" applyFill="1" applyBorder="1" applyAlignment="1" applyProtection="1">
      <alignment vertical="distributed"/>
    </xf>
    <xf numFmtId="43" fontId="1" fillId="0" borderId="4" xfId="1" applyFont="1" applyBorder="1" applyAlignment="1">
      <alignment vertical="distributed"/>
    </xf>
    <xf numFmtId="0" fontId="4" fillId="15" borderId="5" xfId="0" applyFont="1" applyFill="1" applyBorder="1"/>
    <xf numFmtId="9" fontId="0" fillId="15" borderId="5" xfId="3" applyFont="1" applyFill="1" applyBorder="1" applyAlignment="1" applyProtection="1"/>
    <xf numFmtId="165" fontId="0" fillId="15" borderId="5" xfId="2" applyNumberFormat="1" applyFont="1" applyFill="1" applyBorder="1" applyAlignment="1" applyProtection="1"/>
    <xf numFmtId="9" fontId="0" fillId="15" borderId="5" xfId="0" applyNumberFormat="1" applyFill="1" applyBorder="1"/>
    <xf numFmtId="165" fontId="4" fillId="15" borderId="5" xfId="2" applyNumberFormat="1" applyFont="1" applyFill="1" applyBorder="1" applyProtection="1"/>
    <xf numFmtId="165" fontId="4" fillId="15" borderId="12" xfId="2" applyNumberFormat="1" applyFont="1" applyFill="1" applyBorder="1" applyProtection="1"/>
    <xf numFmtId="0" fontId="4" fillId="15" borderId="4" xfId="0" applyFont="1" applyFill="1" applyBorder="1" applyAlignment="1">
      <alignment horizontal="left"/>
    </xf>
    <xf numFmtId="165" fontId="4" fillId="9" borderId="4" xfId="2" applyNumberFormat="1" applyFont="1" applyFill="1" applyBorder="1" applyProtection="1"/>
    <xf numFmtId="165" fontId="1" fillId="19" borderId="1" xfId="2" applyNumberFormat="1" applyFill="1" applyBorder="1" applyAlignment="1" applyProtection="1">
      <alignment horizontal="right"/>
    </xf>
    <xf numFmtId="165" fontId="1" fillId="0" borderId="4" xfId="2" applyNumberFormat="1" applyFill="1" applyBorder="1" applyAlignment="1" applyProtection="1">
      <alignment horizontal="right"/>
    </xf>
    <xf numFmtId="0" fontId="0" fillId="19" borderId="4" xfId="0" applyFill="1" applyBorder="1" applyAlignment="1">
      <alignment horizontal="left"/>
    </xf>
    <xf numFmtId="0" fontId="0" fillId="19" borderId="5" xfId="0" applyFill="1" applyBorder="1" applyAlignment="1">
      <alignment horizontal="left"/>
    </xf>
    <xf numFmtId="0" fontId="23" fillId="0" borderId="4" xfId="0" quotePrefix="1" applyFont="1" applyBorder="1" applyAlignment="1">
      <alignment horizontal="left"/>
    </xf>
    <xf numFmtId="0" fontId="0" fillId="0" borderId="1" xfId="0" applyBorder="1"/>
    <xf numFmtId="0" fontId="0" fillId="0" borderId="1" xfId="0" applyBorder="1" applyAlignment="1">
      <alignment horizontal="left" shrinkToFit="1"/>
    </xf>
    <xf numFmtId="0" fontId="1" fillId="0" borderId="9" xfId="0" applyFont="1" applyBorder="1" applyAlignment="1">
      <alignment horizontal="left" shrinkToFit="1"/>
    </xf>
    <xf numFmtId="0" fontId="4" fillId="14" borderId="5" xfId="0" applyFont="1" applyFill="1" applyBorder="1"/>
    <xf numFmtId="9" fontId="0" fillId="14" borderId="5" xfId="3" applyFont="1" applyFill="1" applyBorder="1" applyAlignment="1" applyProtection="1"/>
    <xf numFmtId="165" fontId="0" fillId="14" borderId="5" xfId="2" applyNumberFormat="1" applyFont="1" applyFill="1" applyBorder="1" applyAlignment="1" applyProtection="1"/>
    <xf numFmtId="9" fontId="0" fillId="14" borderId="5" xfId="0" applyNumberFormat="1" applyFill="1" applyBorder="1"/>
    <xf numFmtId="0" fontId="4" fillId="14" borderId="1" xfId="0" applyFont="1" applyFill="1" applyBorder="1" applyAlignment="1">
      <alignment horizontal="left"/>
    </xf>
    <xf numFmtId="0" fontId="4" fillId="14" borderId="2" xfId="0" applyFont="1" applyFill="1" applyBorder="1" applyAlignment="1">
      <alignment horizontal="left"/>
    </xf>
    <xf numFmtId="0" fontId="4" fillId="14" borderId="3" xfId="0" applyFont="1" applyFill="1" applyBorder="1" applyAlignment="1">
      <alignment horizontal="left"/>
    </xf>
    <xf numFmtId="165" fontId="4" fillId="14" borderId="4" xfId="2" applyNumberFormat="1" applyFont="1" applyFill="1" applyBorder="1" applyProtection="1"/>
    <xf numFmtId="165" fontId="4" fillId="0" borderId="24" xfId="2" applyNumberFormat="1" applyFont="1" applyBorder="1" applyProtection="1"/>
    <xf numFmtId="0" fontId="4" fillId="9" borderId="4" xfId="0" applyFont="1" applyFill="1" applyBorder="1" applyAlignment="1">
      <alignment horizontal="left"/>
    </xf>
    <xf numFmtId="0" fontId="4" fillId="9" borderId="3" xfId="0" applyFont="1" applyFill="1" applyBorder="1"/>
    <xf numFmtId="0" fontId="1" fillId="0" borderId="4" xfId="0" applyFont="1" applyBorder="1" applyAlignment="1">
      <alignment wrapText="1"/>
    </xf>
    <xf numFmtId="0" fontId="4" fillId="0" borderId="6" xfId="0" applyFont="1" applyBorder="1" applyAlignment="1">
      <alignment horizontal="left"/>
    </xf>
    <xf numFmtId="0" fontId="4" fillId="0" borderId="7" xfId="0" applyFont="1" applyBorder="1" applyAlignment="1">
      <alignment horizontal="left"/>
    </xf>
    <xf numFmtId="0" fontId="4" fillId="16" borderId="4" xfId="0" applyFont="1" applyFill="1" applyBorder="1" applyAlignment="1">
      <alignment wrapText="1"/>
    </xf>
    <xf numFmtId="0" fontId="4" fillId="16" borderId="4" xfId="0" applyFont="1" applyFill="1" applyBorder="1" applyAlignment="1">
      <alignment horizontal="center"/>
    </xf>
    <xf numFmtId="0" fontId="4" fillId="16" borderId="1" xfId="0" applyFont="1" applyFill="1" applyBorder="1" applyAlignment="1">
      <alignment horizontal="left"/>
    </xf>
    <xf numFmtId="0" fontId="4" fillId="16" borderId="2" xfId="0" applyFont="1" applyFill="1" applyBorder="1" applyAlignment="1">
      <alignment horizontal="left"/>
    </xf>
    <xf numFmtId="167" fontId="4" fillId="16" borderId="2" xfId="1" applyNumberFormat="1" applyFont="1" applyFill="1" applyBorder="1" applyAlignment="1" applyProtection="1">
      <alignment horizontal="left"/>
    </xf>
    <xf numFmtId="167" fontId="4" fillId="16" borderId="3" xfId="1" applyNumberFormat="1" applyFont="1" applyFill="1" applyBorder="1" applyAlignment="1" applyProtection="1">
      <alignment horizontal="left"/>
    </xf>
    <xf numFmtId="0" fontId="4" fillId="16" borderId="4" xfId="0" applyFont="1" applyFill="1" applyBorder="1"/>
    <xf numFmtId="0" fontId="10" fillId="16" borderId="4" xfId="0" applyFont="1" applyFill="1" applyBorder="1" applyAlignment="1">
      <alignment horizontal="right"/>
    </xf>
    <xf numFmtId="164" fontId="4" fillId="16" borderId="4" xfId="0" applyNumberFormat="1" applyFont="1" applyFill="1" applyBorder="1"/>
    <xf numFmtId="167" fontId="0" fillId="0" borderId="4" xfId="1" applyNumberFormat="1" applyFont="1" applyFill="1" applyBorder="1" applyProtection="1"/>
    <xf numFmtId="0" fontId="4" fillId="16" borderId="1" xfId="0" applyFont="1" applyFill="1" applyBorder="1"/>
    <xf numFmtId="0" fontId="4" fillId="16" borderId="2" xfId="0" applyFont="1" applyFill="1" applyBorder="1"/>
    <xf numFmtId="165" fontId="4" fillId="16" borderId="4" xfId="0" applyNumberFormat="1" applyFont="1" applyFill="1" applyBorder="1"/>
    <xf numFmtId="165" fontId="4" fillId="16" borderId="5" xfId="0" applyNumberFormat="1" applyFont="1" applyFill="1" applyBorder="1"/>
    <xf numFmtId="0" fontId="4" fillId="20" borderId="1" xfId="0" applyFont="1" applyFill="1" applyBorder="1" applyAlignment="1">
      <alignment horizontal="left"/>
    </xf>
    <xf numFmtId="0" fontId="4" fillId="20" borderId="2" xfId="0" applyFont="1" applyFill="1" applyBorder="1" applyAlignment="1">
      <alignment horizontal="left"/>
    </xf>
    <xf numFmtId="0" fontId="4" fillId="20" borderId="3" xfId="0" applyFont="1" applyFill="1" applyBorder="1" applyAlignment="1">
      <alignment horizontal="left"/>
    </xf>
    <xf numFmtId="165" fontId="4" fillId="20" borderId="4" xfId="2" applyNumberFormat="1" applyFont="1" applyFill="1" applyBorder="1" applyProtection="1"/>
    <xf numFmtId="165" fontId="4" fillId="20" borderId="11" xfId="2" applyNumberFormat="1" applyFont="1" applyFill="1" applyBorder="1" applyProtection="1"/>
    <xf numFmtId="0" fontId="1" fillId="0" borderId="3" xfId="0" applyFont="1" applyBorder="1" applyAlignment="1">
      <alignment horizontal="center" vertical="distributed"/>
    </xf>
    <xf numFmtId="0" fontId="0" fillId="0" borderId="1" xfId="0" applyBorder="1" applyAlignment="1">
      <alignment horizontal="left"/>
    </xf>
    <xf numFmtId="165" fontId="0" fillId="0" borderId="3" xfId="0" applyNumberFormat="1" applyBorder="1"/>
    <xf numFmtId="165" fontId="1" fillId="0" borderId="3" xfId="2" applyNumberFormat="1" applyFill="1" applyBorder="1" applyAlignment="1" applyProtection="1">
      <alignment horizontal="left"/>
    </xf>
    <xf numFmtId="165" fontId="1" fillId="0" borderId="4" xfId="2" applyNumberFormat="1" applyFont="1" applyFill="1" applyBorder="1" applyAlignment="1" applyProtection="1">
      <alignment horizontal="center"/>
    </xf>
    <xf numFmtId="165" fontId="1" fillId="0" borderId="3" xfId="2" applyNumberFormat="1" applyFont="1" applyFill="1" applyBorder="1" applyAlignment="1" applyProtection="1">
      <alignment horizontal="center"/>
    </xf>
    <xf numFmtId="0" fontId="23" fillId="0" borderId="0" xfId="0" applyFont="1"/>
    <xf numFmtId="165" fontId="23" fillId="0" borderId="0" xfId="0" applyNumberFormat="1" applyFont="1"/>
    <xf numFmtId="0" fontId="4" fillId="22" borderId="9" xfId="0" applyFont="1" applyFill="1" applyBorder="1" applyAlignment="1">
      <alignment horizontal="left" indent="1"/>
    </xf>
    <xf numFmtId="0" fontId="4" fillId="22" borderId="10" xfId="0" applyFont="1" applyFill="1" applyBorder="1" applyAlignment="1">
      <alignment horizontal="left" indent="1"/>
    </xf>
    <xf numFmtId="0" fontId="0" fillId="22" borderId="10" xfId="0" applyFill="1" applyBorder="1"/>
    <xf numFmtId="165" fontId="0" fillId="22" borderId="4" xfId="1" applyNumberFormat="1" applyFont="1" applyFill="1" applyBorder="1" applyProtection="1"/>
    <xf numFmtId="165" fontId="1" fillId="22" borderId="4" xfId="1" applyNumberFormat="1" applyFont="1" applyFill="1" applyBorder="1" applyProtection="1"/>
    <xf numFmtId="0" fontId="0" fillId="22" borderId="4" xfId="0" applyFill="1" applyBorder="1" applyAlignment="1">
      <alignment horizontal="left"/>
    </xf>
    <xf numFmtId="0" fontId="0" fillId="22" borderId="5" xfId="0" applyFill="1" applyBorder="1" applyAlignment="1">
      <alignment horizontal="left"/>
    </xf>
    <xf numFmtId="165" fontId="4" fillId="22" borderId="5" xfId="2" applyNumberFormat="1" applyFont="1" applyFill="1" applyBorder="1" applyProtection="1"/>
    <xf numFmtId="0" fontId="5" fillId="0" borderId="14" xfId="0" applyFont="1" applyBorder="1"/>
    <xf numFmtId="0" fontId="5" fillId="0" borderId="0" xfId="0" applyFont="1"/>
    <xf numFmtId="0" fontId="4" fillId="23" borderId="4" xfId="0" applyFont="1" applyFill="1" applyBorder="1" applyAlignment="1">
      <alignment horizontal="center" vertical="center"/>
    </xf>
    <xf numFmtId="9" fontId="1" fillId="0" borderId="4" xfId="3" applyFont="1" applyFill="1" applyBorder="1" applyProtection="1"/>
    <xf numFmtId="165" fontId="1" fillId="0" borderId="1" xfId="2" quotePrefix="1" applyNumberFormat="1" applyFont="1" applyFill="1" applyBorder="1" applyProtection="1"/>
    <xf numFmtId="165" fontId="4" fillId="0" borderId="1" xfId="2" applyNumberFormat="1" applyFont="1" applyBorder="1" applyProtection="1"/>
    <xf numFmtId="9" fontId="4" fillId="15" borderId="4" xfId="3" applyFont="1" applyFill="1" applyBorder="1" applyProtection="1"/>
    <xf numFmtId="9" fontId="4" fillId="16" borderId="4" xfId="3" applyFont="1" applyFill="1" applyBorder="1" applyProtection="1"/>
    <xf numFmtId="9" fontId="4" fillId="20" borderId="4" xfId="3" applyFont="1" applyFill="1" applyBorder="1" applyProtection="1"/>
    <xf numFmtId="9" fontId="4" fillId="22" borderId="4" xfId="3" applyFont="1" applyFill="1" applyBorder="1" applyProtection="1"/>
    <xf numFmtId="0" fontId="4" fillId="14" borderId="4" xfId="0" applyFont="1" applyFill="1" applyBorder="1" applyAlignment="1">
      <alignment horizontal="left"/>
    </xf>
    <xf numFmtId="0" fontId="9" fillId="0" borderId="0" xfId="0" applyFont="1"/>
    <xf numFmtId="14" fontId="9" fillId="9" borderId="4" xfId="0" applyNumberFormat="1" applyFont="1" applyFill="1" applyBorder="1"/>
    <xf numFmtId="14" fontId="9" fillId="9" borderId="4" xfId="0" applyNumberFormat="1" applyFont="1" applyFill="1" applyBorder="1" applyAlignment="1">
      <alignment horizontal="center"/>
    </xf>
    <xf numFmtId="14" fontId="4" fillId="9" borderId="4" xfId="0" applyNumberFormat="1" applyFont="1" applyFill="1" applyBorder="1"/>
    <xf numFmtId="43" fontId="0" fillId="0" borderId="0" xfId="0" applyNumberFormat="1"/>
    <xf numFmtId="43" fontId="4" fillId="0" borderId="2" xfId="0" applyNumberFormat="1" applyFont="1" applyBorder="1"/>
    <xf numFmtId="9" fontId="3" fillId="0" borderId="0" xfId="3" applyFont="1"/>
    <xf numFmtId="167" fontId="4" fillId="0" borderId="2" xfId="1" applyNumberFormat="1" applyFont="1" applyBorder="1"/>
    <xf numFmtId="9" fontId="3" fillId="0" borderId="2" xfId="3" applyFont="1" applyBorder="1"/>
    <xf numFmtId="167" fontId="4" fillId="0" borderId="10" xfId="1" applyNumberFormat="1" applyFont="1" applyBorder="1"/>
    <xf numFmtId="167" fontId="0" fillId="0" borderId="0" xfId="1" applyNumberFormat="1" applyFont="1" applyBorder="1"/>
    <xf numFmtId="165" fontId="4" fillId="0" borderId="2" xfId="2" applyNumberFormat="1" applyFont="1" applyBorder="1"/>
    <xf numFmtId="0" fontId="4" fillId="20" borderId="2" xfId="0" applyFont="1" applyFill="1" applyBorder="1"/>
    <xf numFmtId="165" fontId="4" fillId="20" borderId="2" xfId="2" applyNumberFormat="1" applyFont="1" applyFill="1" applyBorder="1"/>
    <xf numFmtId="0" fontId="4" fillId="20" borderId="32" xfId="0" applyFont="1" applyFill="1" applyBorder="1"/>
    <xf numFmtId="165" fontId="4" fillId="20" borderId="32" xfId="2" applyNumberFormat="1" applyFont="1" applyFill="1" applyBorder="1"/>
    <xf numFmtId="0" fontId="23" fillId="0" borderId="1" xfId="0" applyFont="1" applyBorder="1"/>
    <xf numFmtId="0" fontId="23" fillId="0" borderId="1" xfId="0" applyFont="1" applyBorder="1" applyAlignment="1">
      <alignment horizontal="left"/>
    </xf>
    <xf numFmtId="167" fontId="4" fillId="0" borderId="4" xfId="1" applyNumberFormat="1" applyFont="1" applyFill="1" applyBorder="1" applyProtection="1"/>
    <xf numFmtId="43" fontId="0" fillId="0" borderId="4" xfId="1" applyFont="1" applyFill="1" applyBorder="1" applyAlignment="1" applyProtection="1"/>
    <xf numFmtId="173" fontId="0" fillId="0" borderId="0" xfId="0" applyNumberFormat="1"/>
    <xf numFmtId="0" fontId="2" fillId="0" borderId="0" xfId="0" applyFont="1"/>
    <xf numFmtId="0" fontId="4" fillId="0" borderId="0" xfId="0" applyFont="1" applyAlignment="1">
      <alignment wrapText="1"/>
    </xf>
    <xf numFmtId="43" fontId="4" fillId="15" borderId="5" xfId="0" applyNumberFormat="1" applyFont="1" applyFill="1" applyBorder="1" applyAlignment="1">
      <alignment horizontal="left"/>
    </xf>
    <xf numFmtId="43" fontId="4" fillId="0" borderId="4" xfId="1" applyFont="1" applyBorder="1" applyAlignment="1" applyProtection="1">
      <alignment horizontal="left"/>
    </xf>
    <xf numFmtId="14" fontId="15" fillId="4" borderId="5" xfId="0" applyNumberFormat="1" applyFont="1" applyFill="1" applyBorder="1" applyProtection="1">
      <protection locked="0"/>
    </xf>
    <xf numFmtId="0" fontId="8" fillId="0" borderId="4" xfId="0" applyFont="1" applyBorder="1"/>
    <xf numFmtId="10" fontId="8" fillId="4" borderId="4" xfId="3" applyNumberFormat="1" applyFont="1" applyFill="1" applyBorder="1" applyAlignment="1" applyProtection="1">
      <protection locked="0"/>
    </xf>
    <xf numFmtId="10" fontId="8" fillId="4" borderId="16" xfId="3" applyNumberFormat="1" applyFont="1" applyFill="1" applyBorder="1" applyAlignment="1" applyProtection="1">
      <protection locked="0"/>
    </xf>
    <xf numFmtId="0" fontId="20" fillId="10" borderId="42" xfId="0" applyFont="1" applyFill="1" applyBorder="1" applyAlignment="1">
      <alignment wrapText="1"/>
    </xf>
    <xf numFmtId="0" fontId="8" fillId="0" borderId="43" xfId="0" applyFont="1" applyBorder="1" applyAlignment="1">
      <alignment horizontal="center" vertical="center"/>
    </xf>
    <xf numFmtId="0" fontId="8" fillId="0" borderId="44" xfId="0" applyFont="1" applyBorder="1" applyAlignment="1">
      <alignment horizontal="center" vertical="center"/>
    </xf>
    <xf numFmtId="14" fontId="15" fillId="4" borderId="16" xfId="0" applyNumberFormat="1" applyFont="1" applyFill="1" applyBorder="1" applyProtection="1">
      <protection locked="0"/>
    </xf>
    <xf numFmtId="169" fontId="15" fillId="2" borderId="16" xfId="0" applyNumberFormat="1" applyFont="1" applyFill="1" applyBorder="1" applyProtection="1">
      <protection locked="0"/>
    </xf>
    <xf numFmtId="9" fontId="15" fillId="2" borderId="28" xfId="0" applyNumberFormat="1" applyFont="1" applyFill="1" applyBorder="1" applyProtection="1">
      <protection locked="0"/>
    </xf>
    <xf numFmtId="0" fontId="15" fillId="4" borderId="18" xfId="0" applyFont="1" applyFill="1" applyBorder="1" applyProtection="1">
      <protection locked="0"/>
    </xf>
    <xf numFmtId="169" fontId="15" fillId="2" borderId="4" xfId="0" applyNumberFormat="1" applyFont="1" applyFill="1" applyBorder="1" applyProtection="1">
      <protection locked="0"/>
    </xf>
    <xf numFmtId="9" fontId="15" fillId="2" borderId="15" xfId="0" applyNumberFormat="1" applyFont="1" applyFill="1" applyBorder="1" applyProtection="1">
      <protection locked="0"/>
    </xf>
    <xf numFmtId="14" fontId="15" fillId="4" borderId="4" xfId="0" applyNumberFormat="1" applyFont="1" applyFill="1" applyBorder="1" applyProtection="1">
      <protection locked="0"/>
    </xf>
    <xf numFmtId="14" fontId="15" fillId="17" borderId="4" xfId="0" applyNumberFormat="1" applyFont="1" applyFill="1" applyBorder="1" applyAlignment="1" applyProtection="1">
      <alignment horizontal="center"/>
      <protection locked="0"/>
    </xf>
    <xf numFmtId="0" fontId="15" fillId="4" borderId="41" xfId="0" applyFont="1" applyFill="1" applyBorder="1" applyProtection="1">
      <protection locked="0"/>
    </xf>
    <xf numFmtId="169" fontId="15" fillId="2" borderId="5" xfId="0" applyNumberFormat="1" applyFont="1" applyFill="1" applyBorder="1" applyProtection="1">
      <protection locked="0"/>
    </xf>
    <xf numFmtId="9" fontId="15" fillId="2" borderId="21" xfId="0" applyNumberFormat="1" applyFont="1" applyFill="1" applyBorder="1" applyProtection="1">
      <protection locked="0"/>
    </xf>
    <xf numFmtId="0" fontId="15" fillId="0" borderId="46" xfId="0" applyFont="1" applyBorder="1"/>
    <xf numFmtId="9" fontId="15" fillId="4" borderId="44" xfId="3" applyFont="1" applyFill="1" applyBorder="1" applyProtection="1">
      <protection locked="0"/>
    </xf>
    <xf numFmtId="165" fontId="15" fillId="0" borderId="0" xfId="2" applyNumberFormat="1" applyFont="1" applyFill="1" applyBorder="1" applyAlignment="1" applyProtection="1"/>
    <xf numFmtId="0" fontId="8" fillId="0" borderId="33" xfId="0" applyFont="1" applyBorder="1"/>
    <xf numFmtId="0" fontId="30" fillId="0" borderId="33" xfId="0" applyFont="1" applyBorder="1" applyAlignment="1">
      <alignment wrapText="1"/>
    </xf>
    <xf numFmtId="0" fontId="15" fillId="0" borderId="33" xfId="0" applyFont="1" applyBorder="1" applyAlignment="1">
      <alignment wrapText="1"/>
    </xf>
    <xf numFmtId="0" fontId="8" fillId="0" borderId="43" xfId="0" applyFont="1" applyBorder="1" applyAlignment="1">
      <alignment horizontal="center" vertical="center" wrapText="1"/>
    </xf>
    <xf numFmtId="0" fontId="22" fillId="4" borderId="27" xfId="0" applyFont="1" applyFill="1" applyBorder="1" applyProtection="1">
      <protection locked="0"/>
    </xf>
    <xf numFmtId="0" fontId="22" fillId="4" borderId="18" xfId="0" applyFont="1" applyFill="1" applyBorder="1" applyProtection="1">
      <protection locked="0"/>
    </xf>
    <xf numFmtId="9" fontId="15" fillId="2" borderId="15" xfId="1" applyNumberFormat="1" applyFont="1" applyFill="1" applyBorder="1" applyAlignment="1" applyProtection="1">
      <protection locked="0"/>
    </xf>
    <xf numFmtId="169" fontId="15" fillId="2" borderId="20" xfId="0" applyNumberFormat="1" applyFont="1" applyFill="1" applyBorder="1" applyProtection="1">
      <protection locked="0"/>
    </xf>
    <xf numFmtId="9" fontId="15" fillId="2" borderId="21" xfId="1" applyNumberFormat="1" applyFont="1" applyFill="1" applyBorder="1" applyAlignment="1" applyProtection="1">
      <protection locked="0"/>
    </xf>
    <xf numFmtId="0" fontId="9" fillId="10" borderId="0" xfId="0" applyFont="1" applyFill="1" applyAlignment="1">
      <alignment horizontal="left"/>
    </xf>
    <xf numFmtId="0" fontId="8" fillId="10" borderId="0" xfId="0" applyFont="1" applyFill="1" applyAlignment="1">
      <alignment horizontal="left"/>
    </xf>
    <xf numFmtId="0" fontId="8" fillId="10" borderId="33" xfId="0" applyFont="1" applyFill="1" applyBorder="1" applyAlignment="1">
      <alignment horizontal="center" vertical="center"/>
    </xf>
    <xf numFmtId="0" fontId="8" fillId="10" borderId="33" xfId="0" applyFont="1" applyFill="1" applyBorder="1" applyAlignment="1">
      <alignment horizontal="left"/>
    </xf>
    <xf numFmtId="0" fontId="15" fillId="0" borderId="17" xfId="0" applyFont="1" applyBorder="1" applyAlignment="1">
      <alignment horizontal="left"/>
    </xf>
    <xf numFmtId="0" fontId="8" fillId="0" borderId="30" xfId="0" applyFont="1" applyBorder="1" applyAlignment="1">
      <alignment horizontal="left"/>
    </xf>
    <xf numFmtId="0" fontId="15" fillId="0" borderId="31" xfId="0" applyFont="1" applyBorder="1" applyAlignment="1">
      <alignment horizontal="left"/>
    </xf>
    <xf numFmtId="0" fontId="15" fillId="0" borderId="18" xfId="0" applyFont="1" applyBorder="1"/>
    <xf numFmtId="0" fontId="15" fillId="0" borderId="4" xfId="0" applyFont="1" applyBorder="1" applyAlignment="1">
      <alignment horizontal="left" wrapText="1"/>
    </xf>
    <xf numFmtId="169" fontId="15" fillId="2" borderId="4" xfId="2" applyNumberFormat="1" applyFont="1" applyFill="1" applyBorder="1" applyAlignment="1" applyProtection="1">
      <alignment horizontal="right"/>
      <protection locked="0"/>
    </xf>
    <xf numFmtId="0" fontId="15" fillId="0" borderId="15" xfId="0" applyFont="1" applyBorder="1" applyAlignment="1">
      <alignment horizontal="left"/>
    </xf>
    <xf numFmtId="0" fontId="15" fillId="0" borderId="4" xfId="0" applyFont="1" applyBorder="1" applyAlignment="1">
      <alignment horizontal="left"/>
    </xf>
    <xf numFmtId="169" fontId="15" fillId="2" borderId="1" xfId="2" applyNumberFormat="1" applyFont="1" applyFill="1" applyBorder="1" applyAlignment="1" applyProtection="1">
      <alignment horizontal="right"/>
      <protection locked="0"/>
    </xf>
    <xf numFmtId="0" fontId="15" fillId="0" borderId="4" xfId="0" applyFont="1" applyBorder="1"/>
    <xf numFmtId="0" fontId="15" fillId="2" borderId="4" xfId="1" applyNumberFormat="1" applyFont="1" applyFill="1" applyBorder="1" applyAlignment="1" applyProtection="1">
      <alignment horizontal="right"/>
      <protection locked="0"/>
    </xf>
    <xf numFmtId="171" fontId="15" fillId="2" borderId="15" xfId="2" applyNumberFormat="1" applyFont="1" applyFill="1" applyBorder="1" applyAlignment="1" applyProtection="1">
      <protection locked="0"/>
    </xf>
    <xf numFmtId="0" fontId="8" fillId="10" borderId="29" xfId="0" applyFont="1" applyFill="1" applyBorder="1" applyAlignment="1">
      <alignment horizontal="left"/>
    </xf>
    <xf numFmtId="0" fontId="15" fillId="0" borderId="27" xfId="0" applyFont="1" applyBorder="1"/>
    <xf numFmtId="0" fontId="15" fillId="0" borderId="16" xfId="0" applyFont="1" applyBorder="1" applyAlignment="1">
      <alignment horizontal="left"/>
    </xf>
    <xf numFmtId="0" fontId="15" fillId="0" borderId="0" xfId="0" applyFont="1" applyAlignment="1">
      <alignment horizontal="left"/>
    </xf>
    <xf numFmtId="0" fontId="15" fillId="0" borderId="45" xfId="0" applyFont="1" applyBorder="1" applyAlignment="1">
      <alignment horizontal="left"/>
    </xf>
    <xf numFmtId="169" fontId="15" fillId="4" borderId="1" xfId="2" applyNumberFormat="1" applyFont="1" applyFill="1" applyBorder="1" applyAlignment="1" applyProtection="1">
      <alignment horizontal="right"/>
      <protection locked="0"/>
    </xf>
    <xf numFmtId="169" fontId="15" fillId="0" borderId="5" xfId="2" applyNumberFormat="1" applyFont="1" applyFill="1" applyBorder="1" applyAlignment="1" applyProtection="1">
      <alignment horizontal="right"/>
    </xf>
    <xf numFmtId="0" fontId="15" fillId="0" borderId="4" xfId="0" quotePrefix="1" applyFont="1" applyBorder="1" applyAlignment="1">
      <alignment horizontal="left"/>
    </xf>
    <xf numFmtId="169" fontId="15" fillId="0" borderId="1" xfId="1" applyNumberFormat="1" applyFont="1" applyFill="1" applyBorder="1" applyAlignment="1" applyProtection="1">
      <alignment horizontal="right"/>
    </xf>
    <xf numFmtId="169" fontId="15" fillId="0" borderId="4" xfId="2" applyNumberFormat="1" applyFont="1" applyFill="1" applyBorder="1" applyAlignment="1" applyProtection="1">
      <alignment horizontal="right"/>
    </xf>
    <xf numFmtId="169" fontId="15" fillId="0" borderId="15" xfId="2" applyNumberFormat="1" applyFont="1" applyFill="1" applyBorder="1" applyAlignment="1" applyProtection="1">
      <alignment horizontal="right"/>
    </xf>
    <xf numFmtId="169" fontId="15" fillId="4" borderId="4" xfId="2" applyNumberFormat="1" applyFont="1" applyFill="1" applyBorder="1" applyAlignment="1" applyProtection="1">
      <alignment horizontal="right"/>
      <protection locked="0"/>
    </xf>
    <xf numFmtId="169" fontId="15" fillId="4" borderId="15" xfId="2" applyNumberFormat="1" applyFont="1" applyFill="1" applyBorder="1" applyAlignment="1" applyProtection="1">
      <alignment horizontal="right"/>
      <protection locked="0"/>
    </xf>
    <xf numFmtId="0" fontId="15" fillId="0" borderId="19" xfId="0" applyFont="1" applyBorder="1"/>
    <xf numFmtId="0" fontId="15" fillId="0" borderId="20" xfId="0" applyFont="1" applyBorder="1"/>
    <xf numFmtId="169" fontId="15" fillId="2" borderId="20" xfId="2" applyNumberFormat="1" applyFont="1" applyFill="1" applyBorder="1" applyAlignment="1" applyProtection="1">
      <alignment horizontal="right"/>
      <protection locked="0"/>
    </xf>
    <xf numFmtId="169" fontId="15" fillId="4" borderId="20" xfId="2" applyNumberFormat="1" applyFont="1" applyFill="1" applyBorder="1" applyAlignment="1" applyProtection="1">
      <alignment horizontal="right"/>
      <protection locked="0"/>
    </xf>
    <xf numFmtId="169" fontId="15" fillId="4" borderId="21" xfId="2" applyNumberFormat="1" applyFont="1" applyFill="1" applyBorder="1" applyAlignment="1" applyProtection="1">
      <alignment horizontal="right"/>
      <protection locked="0"/>
    </xf>
    <xf numFmtId="0" fontId="15" fillId="0" borderId="50" xfId="0" applyFont="1" applyBorder="1"/>
    <xf numFmtId="0" fontId="15" fillId="0" borderId="25" xfId="0" applyFont="1" applyBorder="1"/>
    <xf numFmtId="9" fontId="15" fillId="2" borderId="49" xfId="3" applyFont="1" applyFill="1" applyBorder="1" applyProtection="1">
      <protection locked="0"/>
    </xf>
    <xf numFmtId="0" fontId="8" fillId="0" borderId="42" xfId="0" applyFont="1" applyBorder="1" applyAlignment="1">
      <alignment horizontal="left"/>
    </xf>
    <xf numFmtId="0" fontId="15" fillId="0" borderId="43" xfId="0" applyFont="1" applyBorder="1"/>
    <xf numFmtId="0" fontId="15" fillId="4" borderId="16" xfId="0" applyFont="1" applyFill="1" applyBorder="1" applyAlignment="1" applyProtection="1">
      <alignment horizontal="center" vertical="distributed"/>
      <protection locked="0"/>
    </xf>
    <xf numFmtId="9" fontId="15" fillId="0" borderId="0" xfId="0" applyNumberFormat="1" applyFont="1" applyAlignment="1">
      <alignment horizontal="left"/>
    </xf>
    <xf numFmtId="0" fontId="15" fillId="0" borderId="18" xfId="0" applyFont="1" applyBorder="1" applyAlignment="1">
      <alignment wrapText="1"/>
    </xf>
    <xf numFmtId="0" fontId="15" fillId="0" borderId="19" xfId="0" applyFont="1" applyBorder="1" applyAlignment="1">
      <alignment wrapText="1"/>
    </xf>
    <xf numFmtId="0" fontId="15" fillId="0" borderId="18" xfId="0" applyFont="1" applyBorder="1" applyAlignment="1">
      <alignment horizontal="left"/>
    </xf>
    <xf numFmtId="0" fontId="15" fillId="0" borderId="19" xfId="0" applyFont="1" applyBorder="1" applyAlignment="1">
      <alignment horizontal="left"/>
    </xf>
    <xf numFmtId="0" fontId="15" fillId="0" borderId="35" xfId="0" applyFont="1" applyBorder="1"/>
    <xf numFmtId="0" fontId="9" fillId="10" borderId="0" xfId="0" applyFont="1" applyFill="1"/>
    <xf numFmtId="0" fontId="15" fillId="10" borderId="0" xfId="0" applyFont="1" applyFill="1"/>
    <xf numFmtId="0" fontId="8" fillId="0" borderId="42" xfId="0" applyFont="1" applyBorder="1" applyAlignment="1">
      <alignment horizontal="center" vertical="center"/>
    </xf>
    <xf numFmtId="0" fontId="15" fillId="0" borderId="30" xfId="0" applyFont="1" applyBorder="1"/>
    <xf numFmtId="169" fontId="15" fillId="4" borderId="4" xfId="0" applyNumberFormat="1" applyFont="1" applyFill="1" applyBorder="1" applyAlignment="1" applyProtection="1">
      <alignment horizontal="right"/>
      <protection locked="0"/>
    </xf>
    <xf numFmtId="169" fontId="8" fillId="0" borderId="4" xfId="0" applyNumberFormat="1" applyFont="1" applyBorder="1" applyAlignment="1">
      <alignment horizontal="right" vertical="center"/>
    </xf>
    <xf numFmtId="169" fontId="15" fillId="0" borderId="4" xfId="0" applyNumberFormat="1" applyFont="1" applyBorder="1"/>
    <xf numFmtId="169" fontId="15" fillId="4" borderId="4" xfId="0" applyNumberFormat="1" applyFont="1" applyFill="1" applyBorder="1" applyAlignment="1" applyProtection="1">
      <alignment horizontal="left"/>
      <protection locked="0"/>
    </xf>
    <xf numFmtId="169" fontId="15" fillId="4" borderId="15" xfId="0" applyNumberFormat="1" applyFont="1" applyFill="1" applyBorder="1" applyAlignment="1" applyProtection="1">
      <alignment horizontal="left"/>
      <protection locked="0"/>
    </xf>
    <xf numFmtId="169" fontId="15" fillId="4" borderId="4" xfId="0" applyNumberFormat="1" applyFont="1" applyFill="1" applyBorder="1" applyProtection="1">
      <protection locked="0"/>
    </xf>
    <xf numFmtId="169" fontId="15" fillId="4" borderId="20" xfId="0" applyNumberFormat="1" applyFont="1" applyFill="1" applyBorder="1" applyProtection="1">
      <protection locked="0"/>
    </xf>
    <xf numFmtId="169" fontId="15" fillId="4" borderId="20" xfId="0" applyNumberFormat="1" applyFont="1" applyFill="1" applyBorder="1" applyAlignment="1" applyProtection="1">
      <alignment horizontal="left"/>
      <protection locked="0"/>
    </xf>
    <xf numFmtId="169" fontId="15" fillId="4" borderId="21" xfId="0" applyNumberFormat="1" applyFont="1" applyFill="1" applyBorder="1" applyAlignment="1" applyProtection="1">
      <alignment horizontal="left"/>
      <protection locked="0"/>
    </xf>
    <xf numFmtId="9" fontId="15" fillId="4" borderId="49" xfId="0" applyNumberFormat="1" applyFont="1" applyFill="1" applyBorder="1" applyProtection="1">
      <protection locked="0"/>
    </xf>
    <xf numFmtId="169" fontId="15" fillId="0" borderId="34" xfId="2" applyNumberFormat="1" applyFont="1" applyFill="1" applyBorder="1" applyAlignment="1" applyProtection="1"/>
    <xf numFmtId="169" fontId="15" fillId="0" borderId="0" xfId="0" applyNumberFormat="1" applyFont="1"/>
    <xf numFmtId="0" fontId="9" fillId="10" borderId="39" xfId="0" applyFont="1" applyFill="1" applyBorder="1" applyAlignment="1">
      <alignment horizontal="left"/>
    </xf>
    <xf numFmtId="0" fontId="15" fillId="10" borderId="33" xfId="0" applyFont="1" applyFill="1" applyBorder="1"/>
    <xf numFmtId="14" fontId="8" fillId="0" borderId="42" xfId="0" applyNumberFormat="1" applyFont="1" applyBorder="1" applyAlignment="1">
      <alignment horizontal="center" vertical="center"/>
    </xf>
    <xf numFmtId="14" fontId="8" fillId="0" borderId="43" xfId="0" applyNumberFormat="1" applyFont="1" applyBorder="1" applyAlignment="1">
      <alignment horizontal="center" vertical="center"/>
    </xf>
    <xf numFmtId="14" fontId="8" fillId="0" borderId="44" xfId="0" applyNumberFormat="1" applyFont="1" applyBorder="1" applyAlignment="1">
      <alignment horizontal="center" vertical="center"/>
    </xf>
    <xf numFmtId="0" fontId="22" fillId="4" borderId="17" xfId="0" applyFont="1" applyFill="1" applyBorder="1" applyAlignment="1" applyProtection="1">
      <alignment horizontal="left"/>
      <protection locked="0"/>
    </xf>
    <xf numFmtId="169" fontId="15" fillId="4" borderId="16" xfId="2" applyNumberFormat="1" applyFont="1" applyFill="1" applyBorder="1" applyAlignment="1" applyProtection="1">
      <alignment horizontal="right"/>
      <protection locked="0"/>
    </xf>
    <xf numFmtId="169" fontId="15" fillId="4" borderId="31" xfId="2" applyNumberFormat="1" applyFont="1" applyFill="1" applyBorder="1" applyAlignment="1" applyProtection="1">
      <alignment horizontal="right"/>
      <protection locked="0"/>
    </xf>
    <xf numFmtId="0" fontId="22" fillId="4" borderId="18" xfId="0" applyFont="1" applyFill="1" applyBorder="1" applyAlignment="1" applyProtection="1">
      <alignment horizontal="left"/>
      <protection locked="0"/>
    </xf>
    <xf numFmtId="0" fontId="15" fillId="4" borderId="18" xfId="0" applyFont="1" applyFill="1" applyBorder="1" applyAlignment="1" applyProtection="1">
      <alignment horizontal="left"/>
      <protection locked="0"/>
    </xf>
    <xf numFmtId="0" fontId="15" fillId="4" borderId="19" xfId="0" applyFont="1" applyFill="1" applyBorder="1" applyAlignment="1" applyProtection="1">
      <alignment horizontal="left"/>
      <protection locked="0"/>
    </xf>
    <xf numFmtId="0" fontId="25" fillId="0" borderId="0" xfId="0" applyFont="1"/>
    <xf numFmtId="172" fontId="15" fillId="0" borderId="0" xfId="0" applyNumberFormat="1" applyFont="1"/>
    <xf numFmtId="14" fontId="15" fillId="4" borderId="30" xfId="2" applyNumberFormat="1" applyFont="1" applyFill="1" applyBorder="1" applyAlignment="1" applyProtection="1">
      <protection locked="0"/>
    </xf>
    <xf numFmtId="14" fontId="15" fillId="4" borderId="4" xfId="2" applyNumberFormat="1" applyFont="1" applyFill="1" applyBorder="1" applyAlignment="1" applyProtection="1">
      <protection locked="0"/>
    </xf>
    <xf numFmtId="14" fontId="15" fillId="4" borderId="20" xfId="2" applyNumberFormat="1" applyFont="1" applyFill="1" applyBorder="1" applyAlignment="1" applyProtection="1">
      <protection locked="0"/>
    </xf>
    <xf numFmtId="0" fontId="8" fillId="0" borderId="51" xfId="0" applyFont="1" applyBorder="1"/>
    <xf numFmtId="0" fontId="8" fillId="0" borderId="52" xfId="0" applyFont="1" applyBorder="1"/>
    <xf numFmtId="0" fontId="8" fillId="0" borderId="53" xfId="0" applyFont="1" applyBorder="1"/>
    <xf numFmtId="165" fontId="8" fillId="0" borderId="54" xfId="2" applyNumberFormat="1" applyFont="1" applyBorder="1" applyAlignment="1" applyProtection="1"/>
    <xf numFmtId="169" fontId="8" fillId="0" borderId="54" xfId="2" applyNumberFormat="1" applyFont="1" applyBorder="1" applyAlignment="1" applyProtection="1">
      <alignment horizontal="right"/>
    </xf>
    <xf numFmtId="0" fontId="10" fillId="0" borderId="0" xfId="0" applyFont="1"/>
    <xf numFmtId="0" fontId="33" fillId="0" borderId="0" xfId="0" applyFont="1" applyAlignment="1">
      <alignment horizontal="right"/>
    </xf>
    <xf numFmtId="0" fontId="34" fillId="0" borderId="0" xfId="0" applyFont="1"/>
    <xf numFmtId="0" fontId="35" fillId="0" borderId="0" xfId="0" applyFont="1" applyAlignment="1">
      <alignment horizontal="right"/>
    </xf>
    <xf numFmtId="0" fontId="8" fillId="24" borderId="17" xfId="0" applyFont="1" applyFill="1" applyBorder="1" applyAlignment="1">
      <alignment horizontal="center"/>
    </xf>
    <xf numFmtId="0" fontId="8" fillId="24" borderId="30" xfId="0" applyFont="1" applyFill="1" applyBorder="1" applyAlignment="1">
      <alignment horizontal="center"/>
    </xf>
    <xf numFmtId="0" fontId="8" fillId="24" borderId="31" xfId="0" applyFont="1" applyFill="1" applyBorder="1" applyAlignment="1">
      <alignment horizontal="center"/>
    </xf>
    <xf numFmtId="14" fontId="4" fillId="16" borderId="57" xfId="0" applyNumberFormat="1" applyFont="1" applyFill="1" applyBorder="1"/>
    <xf numFmtId="14" fontId="4" fillId="16" borderId="43" xfId="0" applyNumberFormat="1" applyFont="1" applyFill="1" applyBorder="1"/>
    <xf numFmtId="14" fontId="4" fillId="16" borderId="44" xfId="0" applyNumberFormat="1" applyFont="1" applyFill="1" applyBorder="1"/>
    <xf numFmtId="14" fontId="4" fillId="16" borderId="42" xfId="0" applyNumberFormat="1" applyFont="1" applyFill="1" applyBorder="1"/>
    <xf numFmtId="14" fontId="4" fillId="16" borderId="3" xfId="0" applyNumberFormat="1" applyFont="1" applyFill="1" applyBorder="1"/>
    <xf numFmtId="14" fontId="4" fillId="16" borderId="4" xfId="0" applyNumberFormat="1" applyFont="1" applyFill="1" applyBorder="1"/>
    <xf numFmtId="43" fontId="1" fillId="0" borderId="37" xfId="0" applyNumberFormat="1" applyFont="1" applyBorder="1"/>
    <xf numFmtId="43" fontId="1" fillId="0" borderId="0" xfId="0" applyNumberFormat="1" applyFont="1"/>
    <xf numFmtId="43" fontId="1" fillId="0" borderId="38" xfId="0" applyNumberFormat="1" applyFont="1" applyBorder="1"/>
    <xf numFmtId="43" fontId="0" fillId="0" borderId="0" xfId="1" applyFont="1"/>
    <xf numFmtId="43" fontId="4" fillId="0" borderId="58" xfId="0" applyNumberFormat="1" applyFont="1" applyBorder="1"/>
    <xf numFmtId="43" fontId="4" fillId="0" borderId="59" xfId="0" applyNumberFormat="1" applyFont="1" applyBorder="1"/>
    <xf numFmtId="0" fontId="0" fillId="0" borderId="37" xfId="0" applyBorder="1"/>
    <xf numFmtId="0" fontId="0" fillId="0" borderId="38" xfId="0" applyBorder="1"/>
    <xf numFmtId="0" fontId="1" fillId="0" borderId="0" xfId="0" applyFont="1" applyAlignment="1">
      <alignment horizontal="left"/>
    </xf>
    <xf numFmtId="0" fontId="0" fillId="25" borderId="4" xfId="0" applyFill="1" applyBorder="1"/>
    <xf numFmtId="10" fontId="0" fillId="25" borderId="4" xfId="3" applyNumberFormat="1" applyFont="1" applyFill="1" applyBorder="1"/>
    <xf numFmtId="0" fontId="0" fillId="25" borderId="0" xfId="0" applyFill="1"/>
    <xf numFmtId="0" fontId="0" fillId="25" borderId="37" xfId="0" applyFill="1" applyBorder="1"/>
    <xf numFmtId="0" fontId="0" fillId="25" borderId="38" xfId="0" applyFill="1" applyBorder="1"/>
    <xf numFmtId="0" fontId="1" fillId="25" borderId="0" xfId="0" applyFont="1" applyFill="1"/>
    <xf numFmtId="0" fontId="36" fillId="25" borderId="0" xfId="0" applyFont="1" applyFill="1"/>
    <xf numFmtId="0" fontId="1" fillId="25" borderId="0" xfId="0" applyFont="1" applyFill="1" applyAlignment="1">
      <alignment horizontal="right"/>
    </xf>
    <xf numFmtId="0" fontId="1" fillId="25" borderId="37" xfId="0" applyFont="1" applyFill="1" applyBorder="1" applyAlignment="1">
      <alignment horizontal="right"/>
    </xf>
    <xf numFmtId="0" fontId="1" fillId="25" borderId="38" xfId="0" applyFont="1" applyFill="1" applyBorder="1" applyAlignment="1">
      <alignment horizontal="right"/>
    </xf>
    <xf numFmtId="43" fontId="0" fillId="25" borderId="0" xfId="1" applyFont="1" applyFill="1"/>
    <xf numFmtId="43" fontId="0" fillId="25" borderId="0" xfId="0" applyNumberFormat="1" applyFill="1"/>
    <xf numFmtId="0" fontId="37" fillId="0" borderId="0" xfId="0" applyFont="1" applyAlignment="1">
      <alignment horizontal="right"/>
    </xf>
    <xf numFmtId="0" fontId="37" fillId="0" borderId="37" xfId="0" applyFont="1" applyBorder="1" applyAlignment="1">
      <alignment horizontal="right"/>
    </xf>
    <xf numFmtId="0" fontId="37" fillId="0" borderId="38" xfId="0" applyFont="1" applyBorder="1" applyAlignment="1">
      <alignment horizontal="right"/>
    </xf>
    <xf numFmtId="167" fontId="1" fillId="0" borderId="37" xfId="0" applyNumberFormat="1" applyFont="1" applyBorder="1"/>
    <xf numFmtId="167" fontId="1" fillId="0" borderId="0" xfId="0" applyNumberFormat="1" applyFont="1"/>
    <xf numFmtId="167" fontId="1" fillId="0" borderId="38" xfId="0" applyNumberFormat="1" applyFont="1" applyBorder="1"/>
    <xf numFmtId="167" fontId="4" fillId="0" borderId="58" xfId="1" applyNumberFormat="1" applyFont="1" applyBorder="1"/>
    <xf numFmtId="167" fontId="4" fillId="0" borderId="59" xfId="1" applyNumberFormat="1" applyFont="1" applyBorder="1"/>
    <xf numFmtId="0" fontId="0" fillId="0" borderId="39" xfId="0" applyBorder="1"/>
    <xf numFmtId="0" fontId="0" fillId="0" borderId="40" xfId="0" applyBorder="1"/>
    <xf numFmtId="0" fontId="4" fillId="24" borderId="0" xfId="0" applyFont="1" applyFill="1"/>
    <xf numFmtId="0" fontId="0" fillId="24" borderId="0" xfId="0" applyFill="1"/>
    <xf numFmtId="167" fontId="0" fillId="24" borderId="0" xfId="1" applyNumberFormat="1" applyFont="1" applyFill="1"/>
    <xf numFmtId="0" fontId="9" fillId="10" borderId="42" xfId="0" applyFont="1" applyFill="1" applyBorder="1" applyAlignment="1">
      <alignment horizontal="left" vertical="top" wrapText="1"/>
    </xf>
    <xf numFmtId="169" fontId="15" fillId="2" borderId="30" xfId="2" applyNumberFormat="1" applyFont="1" applyFill="1" applyBorder="1" applyAlignment="1" applyProtection="1">
      <alignment horizontal="right"/>
      <protection locked="0"/>
    </xf>
    <xf numFmtId="0" fontId="9" fillId="10" borderId="60" xfId="0" applyFont="1" applyFill="1" applyBorder="1" applyAlignment="1">
      <alignment horizontal="left"/>
    </xf>
    <xf numFmtId="0" fontId="8" fillId="10" borderId="40" xfId="0" applyFont="1" applyFill="1" applyBorder="1" applyAlignment="1">
      <alignment horizontal="left"/>
    </xf>
    <xf numFmtId="0" fontId="15" fillId="0" borderId="0" xfId="0" applyFont="1" applyAlignment="1">
      <alignment horizontal="left" vertical="top" wrapText="1"/>
    </xf>
    <xf numFmtId="0" fontId="4" fillId="23" borderId="4" xfId="0" applyFont="1" applyFill="1" applyBorder="1" applyAlignment="1">
      <alignment horizontal="center"/>
    </xf>
    <xf numFmtId="0" fontId="4" fillId="26" borderId="0" xfId="0" applyFont="1" applyFill="1"/>
    <xf numFmtId="0" fontId="0" fillId="26" borderId="0" xfId="0" applyFill="1"/>
    <xf numFmtId="165" fontId="4" fillId="26" borderId="0" xfId="2" applyNumberFormat="1" applyFont="1" applyFill="1"/>
    <xf numFmtId="165" fontId="4" fillId="26" borderId="0" xfId="0" applyNumberFormat="1" applyFont="1" applyFill="1"/>
    <xf numFmtId="9" fontId="3" fillId="4" borderId="0" xfId="0" applyNumberFormat="1" applyFont="1" applyFill="1"/>
    <xf numFmtId="0" fontId="15" fillId="0" borderId="41" xfId="0" applyFont="1" applyBorder="1"/>
    <xf numFmtId="0" fontId="15" fillId="4" borderId="4" xfId="0" applyFont="1" applyFill="1" applyBorder="1" applyProtection="1">
      <protection locked="0"/>
    </xf>
    <xf numFmtId="10" fontId="15" fillId="4" borderId="4" xfId="3" applyNumberFormat="1" applyFont="1" applyFill="1" applyBorder="1" applyProtection="1">
      <protection locked="0"/>
    </xf>
    <xf numFmtId="9" fontId="15" fillId="4" borderId="4" xfId="3" applyFont="1" applyFill="1" applyBorder="1" applyProtection="1">
      <protection locked="0"/>
    </xf>
    <xf numFmtId="167" fontId="15" fillId="4" borderId="4" xfId="1" applyNumberFormat="1" applyFont="1" applyFill="1" applyBorder="1" applyProtection="1">
      <protection locked="0"/>
    </xf>
    <xf numFmtId="167" fontId="0" fillId="0" borderId="4" xfId="1" applyNumberFormat="1" applyFont="1" applyFill="1" applyBorder="1" applyAlignment="1" applyProtection="1"/>
    <xf numFmtId="14" fontId="23" fillId="0" borderId="4" xfId="0" applyNumberFormat="1" applyFont="1" applyBorder="1"/>
    <xf numFmtId="9" fontId="8" fillId="0" borderId="0" xfId="3" applyFont="1" applyFill="1" applyBorder="1" applyAlignment="1" applyProtection="1"/>
    <xf numFmtId="9" fontId="8" fillId="0" borderId="33" xfId="3" applyFont="1" applyFill="1" applyBorder="1" applyAlignment="1" applyProtection="1"/>
    <xf numFmtId="165" fontId="15" fillId="0" borderId="34" xfId="0" applyNumberFormat="1" applyFont="1" applyBorder="1"/>
    <xf numFmtId="9" fontId="15" fillId="0" borderId="0" xfId="1" applyNumberFormat="1" applyFont="1" applyFill="1" applyBorder="1" applyAlignment="1" applyProtection="1"/>
    <xf numFmtId="14" fontId="15" fillId="0" borderId="35" xfId="0" applyNumberFormat="1" applyFont="1" applyBorder="1"/>
    <xf numFmtId="165" fontId="15" fillId="0" borderId="0" xfId="0" applyNumberFormat="1" applyFont="1"/>
    <xf numFmtId="165" fontId="15" fillId="0" borderId="34" xfId="2" applyNumberFormat="1" applyFont="1" applyFill="1" applyBorder="1" applyProtection="1"/>
    <xf numFmtId="9" fontId="15" fillId="4" borderId="14" xfId="3" applyFont="1" applyFill="1" applyBorder="1" applyProtection="1"/>
    <xf numFmtId="0" fontId="15" fillId="0" borderId="4" xfId="0" applyFont="1" applyBorder="1" applyAlignment="1">
      <alignment horizontal="right"/>
    </xf>
    <xf numFmtId="0" fontId="15" fillId="0" borderId="5" xfId="0" applyFont="1" applyBorder="1" applyAlignment="1">
      <alignment horizontal="right"/>
    </xf>
    <xf numFmtId="0" fontId="15" fillId="0" borderId="16" xfId="0" applyFont="1" applyBorder="1" applyProtection="1">
      <protection locked="0"/>
    </xf>
    <xf numFmtId="0" fontId="15" fillId="0" borderId="4" xfId="0" applyFont="1" applyBorder="1" applyProtection="1">
      <protection locked="0"/>
    </xf>
    <xf numFmtId="0" fontId="15" fillId="0" borderId="20" xfId="0" applyFont="1" applyBorder="1" applyProtection="1">
      <protection locked="0"/>
    </xf>
    <xf numFmtId="0" fontId="15" fillId="0" borderId="22" xfId="0" applyFont="1" applyBorder="1" applyProtection="1">
      <protection locked="0"/>
    </xf>
    <xf numFmtId="0" fontId="15" fillId="0" borderId="55" xfId="0" applyFont="1" applyBorder="1" applyProtection="1">
      <protection locked="0"/>
    </xf>
    <xf numFmtId="0" fontId="15" fillId="0" borderId="2" xfId="0" applyFont="1" applyBorder="1" applyProtection="1">
      <protection locked="0"/>
    </xf>
    <xf numFmtId="0" fontId="15" fillId="0" borderId="3" xfId="0" applyFont="1" applyBorder="1" applyProtection="1">
      <protection locked="0"/>
    </xf>
    <xf numFmtId="0" fontId="15" fillId="0" borderId="29" xfId="0" applyFont="1" applyBorder="1" applyProtection="1">
      <protection locked="0"/>
    </xf>
    <xf numFmtId="0" fontId="15" fillId="0" borderId="56" xfId="0" applyFont="1" applyBorder="1" applyProtection="1">
      <protection locked="0"/>
    </xf>
    <xf numFmtId="0" fontId="15" fillId="4" borderId="61" xfId="0" applyFont="1" applyFill="1" applyBorder="1" applyProtection="1">
      <protection locked="0"/>
    </xf>
    <xf numFmtId="0" fontId="15" fillId="4" borderId="27" xfId="0" applyFont="1" applyFill="1" applyBorder="1" applyProtection="1">
      <protection locked="0"/>
    </xf>
    <xf numFmtId="9" fontId="15" fillId="0" borderId="15" xfId="0" applyNumberFormat="1" applyFont="1" applyBorder="1"/>
    <xf numFmtId="169" fontId="15" fillId="2" borderId="9" xfId="2" applyNumberFormat="1" applyFont="1" applyFill="1" applyBorder="1" applyAlignment="1" applyProtection="1">
      <alignment horizontal="right"/>
      <protection locked="0"/>
    </xf>
    <xf numFmtId="165" fontId="8" fillId="0" borderId="4" xfId="2" applyNumberFormat="1" applyFont="1" applyFill="1" applyBorder="1" applyAlignment="1" applyProtection="1">
      <alignment horizontal="center"/>
    </xf>
    <xf numFmtId="169" fontId="8" fillId="0" borderId="4" xfId="2" applyNumberFormat="1" applyFont="1" applyFill="1" applyBorder="1" applyAlignment="1" applyProtection="1">
      <alignment horizontal="center"/>
    </xf>
    <xf numFmtId="0" fontId="15" fillId="0" borderId="17" xfId="0" applyFont="1" applyBorder="1" applyAlignment="1">
      <alignment wrapText="1"/>
    </xf>
    <xf numFmtId="0" fontId="15" fillId="4" borderId="30" xfId="0" applyFont="1" applyFill="1" applyBorder="1" applyAlignment="1" applyProtection="1">
      <alignment horizontal="center" vertical="distributed"/>
      <protection locked="0"/>
    </xf>
    <xf numFmtId="0" fontId="15" fillId="4" borderId="31" xfId="0" applyFont="1" applyFill="1" applyBorder="1" applyAlignment="1" applyProtection="1">
      <alignment horizontal="center" vertical="distributed"/>
      <protection locked="0"/>
    </xf>
    <xf numFmtId="0" fontId="15" fillId="4" borderId="28" xfId="0" applyFont="1" applyFill="1" applyBorder="1" applyAlignment="1" applyProtection="1">
      <alignment horizontal="center" vertical="distributed"/>
      <protection locked="0"/>
    </xf>
    <xf numFmtId="0" fontId="15" fillId="4" borderId="25" xfId="0" applyFont="1" applyFill="1" applyBorder="1" applyAlignment="1" applyProtection="1">
      <alignment horizontal="center" vertical="distributed"/>
      <protection locked="0"/>
    </xf>
    <xf numFmtId="0" fontId="15" fillId="4" borderId="49" xfId="0" applyFont="1" applyFill="1" applyBorder="1" applyAlignment="1" applyProtection="1">
      <alignment horizontal="center" vertical="distributed"/>
      <protection locked="0"/>
    </xf>
    <xf numFmtId="0" fontId="15" fillId="4" borderId="30" xfId="0" applyFont="1" applyFill="1" applyBorder="1" applyAlignment="1" applyProtection="1">
      <alignment horizontal="center"/>
      <protection locked="0"/>
    </xf>
    <xf numFmtId="0" fontId="15" fillId="4" borderId="31" xfId="0" applyFont="1" applyFill="1" applyBorder="1" applyAlignment="1" applyProtection="1">
      <alignment horizontal="center"/>
      <protection locked="0"/>
    </xf>
    <xf numFmtId="169" fontId="15" fillId="4" borderId="15" xfId="0" applyNumberFormat="1" applyFont="1" applyFill="1" applyBorder="1" applyAlignment="1" applyProtection="1">
      <alignment horizontal="right"/>
      <protection locked="0"/>
    </xf>
    <xf numFmtId="0" fontId="15" fillId="0" borderId="37" xfId="0" applyFont="1" applyBorder="1"/>
    <xf numFmtId="0" fontId="22" fillId="4" borderId="19" xfId="0" applyFont="1" applyFill="1" applyBorder="1" applyProtection="1">
      <protection locked="0"/>
    </xf>
    <xf numFmtId="0" fontId="39" fillId="0" borderId="0" xfId="0" applyFont="1"/>
    <xf numFmtId="0" fontId="20" fillId="0" borderId="0" xfId="0" applyFont="1" applyAlignment="1">
      <alignment horizontal="left" vertical="center"/>
    </xf>
    <xf numFmtId="0" fontId="20" fillId="0" borderId="37" xfId="0" quotePrefix="1" applyFont="1" applyBorder="1" applyAlignment="1">
      <alignment vertical="center" wrapText="1"/>
    </xf>
    <xf numFmtId="0" fontId="20" fillId="0" borderId="0" xfId="0" quotePrefix="1" applyFont="1" applyAlignment="1">
      <alignment vertical="center" wrapText="1"/>
    </xf>
    <xf numFmtId="165" fontId="15" fillId="4" borderId="5" xfId="2" applyNumberFormat="1" applyFont="1" applyFill="1" applyBorder="1" applyAlignment="1" applyProtection="1">
      <alignment horizontal="center"/>
      <protection locked="0"/>
    </xf>
    <xf numFmtId="0" fontId="8" fillId="10" borderId="37" xfId="0" applyFont="1" applyFill="1" applyBorder="1" applyAlignment="1">
      <alignment horizontal="left"/>
    </xf>
    <xf numFmtId="169" fontId="15" fillId="2" borderId="15" xfId="2" applyNumberFormat="1" applyFont="1" applyFill="1" applyBorder="1" applyAlignment="1" applyProtection="1">
      <alignment horizontal="right"/>
      <protection locked="0"/>
    </xf>
    <xf numFmtId="165" fontId="1" fillId="0" borderId="3" xfId="2" applyNumberFormat="1" applyFont="1" applyBorder="1" applyAlignment="1" applyProtection="1">
      <alignment horizontal="center"/>
    </xf>
    <xf numFmtId="9" fontId="1" fillId="2" borderId="4" xfId="3" applyFont="1" applyFill="1" applyBorder="1" applyAlignment="1" applyProtection="1">
      <alignment horizontal="center" vertical="distributed"/>
      <protection locked="0"/>
    </xf>
    <xf numFmtId="0" fontId="1" fillId="0" borderId="4" xfId="0" applyFont="1" applyBorder="1" applyAlignment="1">
      <alignment horizontal="center"/>
    </xf>
    <xf numFmtId="165" fontId="1" fillId="0" borderId="4" xfId="2" applyNumberFormat="1" applyFont="1" applyFill="1" applyBorder="1" applyAlignment="1" applyProtection="1"/>
    <xf numFmtId="0" fontId="1" fillId="0" borderId="3" xfId="0" applyFont="1" applyBorder="1"/>
    <xf numFmtId="164" fontId="1" fillId="4" borderId="4" xfId="0" applyNumberFormat="1" applyFont="1" applyFill="1" applyBorder="1" applyProtection="1">
      <protection locked="0"/>
    </xf>
    <xf numFmtId="9" fontId="1" fillId="4" borderId="4" xfId="0" applyNumberFormat="1" applyFont="1" applyFill="1" applyBorder="1" applyProtection="1">
      <protection locked="0"/>
    </xf>
    <xf numFmtId="9" fontId="1" fillId="0" borderId="4" xfId="3" applyFont="1" applyFill="1" applyBorder="1" applyAlignment="1" applyProtection="1">
      <alignment horizontal="center" vertical="distributed"/>
      <protection locked="0"/>
    </xf>
    <xf numFmtId="165" fontId="1" fillId="2" borderId="4" xfId="0" applyNumberFormat="1" applyFont="1" applyFill="1" applyBorder="1" applyProtection="1">
      <protection locked="0"/>
    </xf>
    <xf numFmtId="165" fontId="1" fillId="0" borderId="4" xfId="2" applyNumberFormat="1" applyFont="1" applyBorder="1" applyAlignment="1" applyProtection="1"/>
    <xf numFmtId="9" fontId="1" fillId="2" borderId="4" xfId="0" applyNumberFormat="1" applyFont="1" applyFill="1" applyBorder="1" applyProtection="1">
      <protection locked="0"/>
    </xf>
    <xf numFmtId="9" fontId="1" fillId="2" borderId="4" xfId="1" applyNumberFormat="1" applyFont="1" applyFill="1" applyBorder="1" applyAlignment="1" applyProtection="1">
      <protection locked="0"/>
    </xf>
    <xf numFmtId="9" fontId="1" fillId="0" borderId="4" xfId="0" applyNumberFormat="1" applyFont="1" applyBorder="1"/>
    <xf numFmtId="0" fontId="1" fillId="0" borderId="2" xfId="0" applyFont="1" applyBorder="1"/>
    <xf numFmtId="44" fontId="1" fillId="0" borderId="4" xfId="2" applyFont="1" applyFill="1" applyBorder="1" applyAlignment="1" applyProtection="1"/>
    <xf numFmtId="9" fontId="1" fillId="0" borderId="4" xfId="3" applyFont="1" applyFill="1" applyBorder="1" applyAlignment="1" applyProtection="1">
      <alignment horizontal="center" vertical="distributed"/>
    </xf>
    <xf numFmtId="167" fontId="1" fillId="0" borderId="4" xfId="1" applyNumberFormat="1" applyFont="1" applyFill="1" applyBorder="1" applyProtection="1"/>
    <xf numFmtId="43" fontId="1" fillId="0" borderId="4" xfId="1" applyFont="1" applyFill="1" applyBorder="1" applyAlignment="1" applyProtection="1"/>
    <xf numFmtId="0" fontId="1" fillId="16" borderId="2" xfId="0" applyFont="1" applyFill="1" applyBorder="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4" fillId="0" borderId="4" xfId="0" applyFont="1" applyBorder="1" applyAlignment="1">
      <alignment horizontal="left"/>
    </xf>
    <xf numFmtId="0" fontId="5" fillId="0" borderId="1" xfId="0" applyFont="1" applyBorder="1" applyAlignment="1">
      <alignment horizontal="center" wrapText="1"/>
    </xf>
    <xf numFmtId="0" fontId="5" fillId="0" borderId="2"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4" xfId="0" applyFont="1" applyBorder="1" applyAlignment="1">
      <alignment horizontal="center" wrapText="1"/>
    </xf>
    <xf numFmtId="0" fontId="8" fillId="5" borderId="6" xfId="0" applyFont="1" applyFill="1" applyBorder="1" applyAlignment="1">
      <alignment wrapText="1"/>
    </xf>
    <xf numFmtId="0" fontId="8" fillId="5" borderId="7" xfId="0" applyFont="1" applyFill="1" applyBorder="1" applyAlignment="1">
      <alignment wrapText="1"/>
    </xf>
    <xf numFmtId="0" fontId="15" fillId="0" borderId="7" xfId="0" applyFont="1" applyBorder="1" applyAlignment="1"/>
    <xf numFmtId="0" fontId="3" fillId="0" borderId="0" xfId="0" applyFont="1" applyAlignment="1">
      <alignment wrapText="1"/>
    </xf>
    <xf numFmtId="0" fontId="0" fillId="0" borderId="0" xfId="0" applyAlignment="1">
      <alignment wrapText="1"/>
    </xf>
    <xf numFmtId="0" fontId="3" fillId="0" borderId="1" xfId="0" applyFont="1" applyBorder="1" applyAlignment="1">
      <alignment horizontal="right"/>
    </xf>
    <xf numFmtId="0" fontId="3" fillId="0" borderId="3" xfId="0" applyFont="1" applyBorder="1" applyAlignment="1">
      <alignment horizontal="righ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1" fillId="0" borderId="1" xfId="0" applyFont="1" applyBorder="1" applyAlignment="1">
      <alignment horizontal="right"/>
    </xf>
    <xf numFmtId="0" fontId="11" fillId="0" borderId="2" xfId="0" applyFont="1" applyBorder="1" applyAlignment="1">
      <alignment horizontal="right"/>
    </xf>
    <xf numFmtId="0" fontId="11" fillId="0" borderId="3" xfId="0" applyFont="1" applyBorder="1" applyAlignment="1">
      <alignment horizontal="right"/>
    </xf>
    <xf numFmtId="0" fontId="9" fillId="2" borderId="2"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13" fillId="0" borderId="2" xfId="0" applyFont="1" applyBorder="1" applyAlignment="1">
      <alignment wrapText="1"/>
    </xf>
    <xf numFmtId="0" fontId="0" fillId="0" borderId="2" xfId="0" applyBorder="1" applyAlignment="1">
      <alignment wrapText="1"/>
    </xf>
    <xf numFmtId="0" fontId="12" fillId="0" borderId="1" xfId="0" applyFont="1" applyBorder="1" applyAlignment="1">
      <alignment wrapText="1"/>
    </xf>
    <xf numFmtId="0" fontId="12"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1" fillId="0" borderId="9" xfId="0" applyFont="1" applyBorder="1" applyAlignment="1">
      <alignment horizontal="right" wrapText="1"/>
    </xf>
    <xf numFmtId="0" fontId="1" fillId="0" borderId="10" xfId="0" applyFont="1" applyBorder="1" applyAlignment="1">
      <alignment horizontal="right" wrapText="1"/>
    </xf>
    <xf numFmtId="0" fontId="0" fillId="0" borderId="10" xfId="0" applyBorder="1" applyAlignment="1">
      <alignment horizontal="right"/>
    </xf>
    <xf numFmtId="0" fontId="1" fillId="0" borderId="14" xfId="0" applyFont="1" applyBorder="1" applyAlignment="1">
      <alignment horizontal="right" wrapText="1"/>
    </xf>
    <xf numFmtId="0" fontId="1" fillId="0" borderId="0" xfId="0" applyFont="1" applyAlignment="1">
      <alignment horizontal="right" wrapText="1"/>
    </xf>
    <xf numFmtId="0" fontId="0" fillId="0" borderId="0" xfId="0" applyAlignment="1">
      <alignment horizontal="right"/>
    </xf>
    <xf numFmtId="0" fontId="1" fillId="0" borderId="6" xfId="0" applyFont="1" applyBorder="1" applyAlignment="1">
      <alignment horizontal="right" wrapText="1"/>
    </xf>
    <xf numFmtId="0" fontId="1" fillId="0" borderId="7" xfId="0" applyFont="1" applyBorder="1" applyAlignment="1">
      <alignment horizontal="right" wrapText="1"/>
    </xf>
    <xf numFmtId="0" fontId="0" fillId="0" borderId="7" xfId="0" applyBorder="1" applyAlignment="1">
      <alignment horizontal="right"/>
    </xf>
    <xf numFmtId="0" fontId="5" fillId="0" borderId="1" xfId="0" applyFont="1" applyBorder="1" applyAlignment="1">
      <alignment horizontal="left" wrapText="1"/>
    </xf>
    <xf numFmtId="0" fontId="5" fillId="0" borderId="2" xfId="0" applyFont="1" applyBorder="1" applyAlignment="1">
      <alignment horizontal="left" wrapText="1"/>
    </xf>
    <xf numFmtId="0" fontId="0" fillId="0" borderId="2" xfId="0" applyBorder="1" applyAlignment="1">
      <alignment horizontal="left" wrapText="1"/>
    </xf>
    <xf numFmtId="0" fontId="0" fillId="0" borderId="8" xfId="0" applyBorder="1" applyAlignment="1">
      <alignment horizontal="left" wrapText="1"/>
    </xf>
    <xf numFmtId="0" fontId="1" fillId="0" borderId="16" xfId="0" applyFont="1" applyBorder="1" applyAlignment="1">
      <alignment horizontal="center"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0" xfId="0" applyFont="1" applyAlignment="1">
      <alignment horizontal="left" vertical="top" wrapText="1"/>
    </xf>
    <xf numFmtId="0" fontId="15" fillId="0" borderId="38" xfId="0" applyFont="1" applyBorder="1" applyAlignment="1">
      <alignment horizontal="left" vertical="top" wrapText="1"/>
    </xf>
    <xf numFmtId="0" fontId="15" fillId="0" borderId="39" xfId="0" applyFont="1" applyBorder="1" applyAlignment="1">
      <alignment horizontal="left" vertical="top" wrapText="1"/>
    </xf>
    <xf numFmtId="0" fontId="15" fillId="0" borderId="33" xfId="0" applyFont="1" applyBorder="1" applyAlignment="1">
      <alignment horizontal="left" vertical="top" wrapText="1"/>
    </xf>
    <xf numFmtId="0" fontId="15" fillId="0" borderId="40" xfId="0" applyFont="1" applyBorder="1" applyAlignment="1">
      <alignment horizontal="left" vertical="top" wrapText="1"/>
    </xf>
    <xf numFmtId="0" fontId="9" fillId="10" borderId="47" xfId="0" applyFont="1" applyFill="1" applyBorder="1" applyAlignment="1">
      <alignment wrapText="1"/>
    </xf>
    <xf numFmtId="0" fontId="9" fillId="10" borderId="33" xfId="0" applyFont="1" applyFill="1" applyBorder="1" applyAlignment="1">
      <alignment wrapText="1"/>
    </xf>
    <xf numFmtId="0" fontId="8" fillId="24" borderId="0" xfId="0" applyFont="1" applyFill="1" applyAlignment="1">
      <alignment horizontal="center"/>
    </xf>
    <xf numFmtId="0" fontId="38" fillId="26" borderId="0" xfId="0" applyFont="1" applyFill="1" applyAlignment="1">
      <alignment horizontal="center"/>
    </xf>
    <xf numFmtId="0" fontId="22" fillId="0" borderId="0" xfId="0" applyFont="1" applyAlignment="1">
      <alignment wrapText="1"/>
    </xf>
    <xf numFmtId="0" fontId="15" fillId="0" borderId="0" xfId="0" applyFont="1" applyAlignment="1">
      <alignment wrapText="1"/>
    </xf>
    <xf numFmtId="0" fontId="2" fillId="9" borderId="0" xfId="0" applyFont="1" applyFill="1" applyAlignment="1">
      <alignment horizontal="center"/>
    </xf>
    <xf numFmtId="0" fontId="8" fillId="2" borderId="46" xfId="0" applyFont="1" applyFill="1" applyBorder="1" applyAlignment="1" applyProtection="1">
      <alignment horizontal="center"/>
      <protection locked="0"/>
    </xf>
    <xf numFmtId="0" fontId="8" fillId="2" borderId="48" xfId="0" applyFont="1" applyFill="1" applyBorder="1" applyAlignment="1" applyProtection="1">
      <alignment horizontal="center"/>
      <protection locked="0"/>
    </xf>
    <xf numFmtId="0" fontId="8" fillId="2" borderId="23" xfId="0" applyFont="1" applyFill="1" applyBorder="1" applyAlignment="1" applyProtection="1">
      <alignment horizontal="center"/>
      <protection locked="0"/>
    </xf>
    <xf numFmtId="0" fontId="20" fillId="0" borderId="37" xfId="0" quotePrefix="1" applyFont="1" applyBorder="1" applyAlignment="1">
      <alignment horizontal="center" vertical="center" wrapText="1"/>
    </xf>
    <xf numFmtId="0" fontId="20" fillId="0" borderId="0" xfId="0" quotePrefix="1" applyFont="1" applyAlignment="1">
      <alignment horizontal="center" vertical="center" wrapText="1"/>
    </xf>
    <xf numFmtId="9" fontId="20" fillId="0" borderId="37" xfId="0" applyNumberFormat="1" applyFont="1" applyBorder="1" applyAlignment="1">
      <alignment horizontal="center" vertical="center" wrapText="1"/>
    </xf>
    <xf numFmtId="9" fontId="20" fillId="0" borderId="0" xfId="0" applyNumberFormat="1" applyFont="1" applyAlignment="1">
      <alignment horizontal="center" vertical="center" wrapText="1"/>
    </xf>
    <xf numFmtId="0" fontId="4" fillId="15" borderId="4" xfId="0" applyFont="1" applyFill="1" applyBorder="1" applyAlignment="1">
      <alignment horizontal="left"/>
    </xf>
    <xf numFmtId="0" fontId="4" fillId="14" borderId="4"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4" fillId="23" borderId="4" xfId="0" applyFont="1" applyFill="1" applyBorder="1" applyAlignment="1">
      <alignment horizontal="center" wrapText="1"/>
    </xf>
    <xf numFmtId="0" fontId="1" fillId="0" borderId="0" xfId="0" applyFont="1" applyAlignment="1">
      <alignment horizontal="center" wrapText="1"/>
    </xf>
    <xf numFmtId="0" fontId="9" fillId="0" borderId="0" xfId="0" applyFont="1" applyAlignment="1">
      <alignment horizontal="left"/>
    </xf>
    <xf numFmtId="0" fontId="8" fillId="21" borderId="6" xfId="0" applyFont="1" applyFill="1" applyBorder="1" applyAlignment="1">
      <alignment wrapText="1"/>
    </xf>
    <xf numFmtId="0" fontId="8" fillId="21" borderId="7" xfId="0" applyFont="1" applyFill="1" applyBorder="1" applyAlignment="1">
      <alignment wrapText="1"/>
    </xf>
    <xf numFmtId="0" fontId="15" fillId="21" borderId="7" xfId="0" applyFont="1" applyFill="1" applyBorder="1" applyAlignment="1"/>
    <xf numFmtId="0" fontId="4" fillId="0" borderId="46" xfId="0" applyFont="1" applyBorder="1" applyAlignment="1">
      <alignment horizontal="center"/>
    </xf>
    <xf numFmtId="0" fontId="4" fillId="0" borderId="48" xfId="0" applyFont="1" applyBorder="1" applyAlignment="1">
      <alignment horizontal="center"/>
    </xf>
    <xf numFmtId="0" fontId="4" fillId="0" borderId="23" xfId="0" applyFont="1" applyBorder="1" applyAlignment="1">
      <alignment horizontal="center"/>
    </xf>
  </cellXfs>
  <cellStyles count="10">
    <cellStyle name="Comma" xfId="1" builtinId="3"/>
    <cellStyle name="Comma 2" xfId="4" xr:uid="{00000000-0005-0000-0000-000001000000}"/>
    <cellStyle name="Comma 3" xfId="9" xr:uid="{A998D90B-7678-415C-8D3E-01EE81C05B17}"/>
    <cellStyle name="Currency" xfId="2" builtinId="4"/>
    <cellStyle name="Currency 2" xfId="7" xr:uid="{741E1F3F-C61D-4C27-8D1D-EED3A9189B7D}"/>
    <cellStyle name="Normal" xfId="0" builtinId="0"/>
    <cellStyle name="Normal 2" xfId="5" xr:uid="{00000000-0005-0000-0000-000004000000}"/>
    <cellStyle name="Normal 3" xfId="6" xr:uid="{315E85A7-598E-4ECF-B75E-848145BEC614}"/>
    <cellStyle name="Percent" xfId="3" builtinId="5"/>
    <cellStyle name="Percent 2" xfId="8" xr:uid="{E762C9B7-9198-4F06-8B64-0ED9FD829F20}"/>
  </cellStyles>
  <dxfs count="0"/>
  <tableStyles count="0" defaultTableStyle="TableStyleMedium2" defaultPivotStyle="PivotStyleLight16"/>
  <colors>
    <mruColors>
      <color rgb="FFFFFF99"/>
      <color rgb="FFFF99FF"/>
      <color rgb="FFFFCCFF"/>
      <color rgb="FFF5E4E3"/>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1566334</xdr:colOff>
      <xdr:row>23</xdr:row>
      <xdr:rowOff>10584</xdr:rowOff>
    </xdr:from>
    <xdr:to>
      <xdr:col>4</xdr:col>
      <xdr:colOff>158750</xdr:colOff>
      <xdr:row>34</xdr:row>
      <xdr:rowOff>10583</xdr:rowOff>
    </xdr:to>
    <xdr:sp macro="" textlink="">
      <xdr:nvSpPr>
        <xdr:cNvPr id="2" name="Right Brace 1">
          <a:extLst>
            <a:ext uri="{FF2B5EF4-FFF2-40B4-BE49-F238E27FC236}">
              <a16:creationId xmlns:a16="http://schemas.microsoft.com/office/drawing/2014/main" id="{45C633E6-F34F-48DD-88E4-937F8D84A40A}"/>
            </a:ext>
          </a:extLst>
        </xdr:cNvPr>
        <xdr:cNvSpPr/>
      </xdr:nvSpPr>
      <xdr:spPr>
        <a:xfrm>
          <a:off x="8498417" y="4783667"/>
          <a:ext cx="179916" cy="2561166"/>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1</xdr:colOff>
      <xdr:row>35</xdr:row>
      <xdr:rowOff>0</xdr:rowOff>
    </xdr:from>
    <xdr:to>
      <xdr:col>4</xdr:col>
      <xdr:colOff>169335</xdr:colOff>
      <xdr:row>45</xdr:row>
      <xdr:rowOff>10583</xdr:rowOff>
    </xdr:to>
    <xdr:sp macro="" textlink="">
      <xdr:nvSpPr>
        <xdr:cNvPr id="3" name="Right Brace 2">
          <a:extLst>
            <a:ext uri="{FF2B5EF4-FFF2-40B4-BE49-F238E27FC236}">
              <a16:creationId xmlns:a16="http://schemas.microsoft.com/office/drawing/2014/main" id="{2E64811A-BE3D-4E06-A067-10F87C3FB69C}"/>
            </a:ext>
          </a:extLst>
        </xdr:cNvPr>
        <xdr:cNvSpPr/>
      </xdr:nvSpPr>
      <xdr:spPr>
        <a:xfrm>
          <a:off x="8519584" y="7567083"/>
          <a:ext cx="169334" cy="2338917"/>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0</xdr:colOff>
      <xdr:row>48</xdr:row>
      <xdr:rowOff>1</xdr:rowOff>
    </xdr:from>
    <xdr:to>
      <xdr:col>4</xdr:col>
      <xdr:colOff>201084</xdr:colOff>
      <xdr:row>54</xdr:row>
      <xdr:rowOff>31751</xdr:rowOff>
    </xdr:to>
    <xdr:sp macro="" textlink="">
      <xdr:nvSpPr>
        <xdr:cNvPr id="4" name="Right Brace 3">
          <a:extLst>
            <a:ext uri="{FF2B5EF4-FFF2-40B4-BE49-F238E27FC236}">
              <a16:creationId xmlns:a16="http://schemas.microsoft.com/office/drawing/2014/main" id="{BA817D16-59FA-4334-B247-5C6F537FAA45}"/>
            </a:ext>
          </a:extLst>
        </xdr:cNvPr>
        <xdr:cNvSpPr/>
      </xdr:nvSpPr>
      <xdr:spPr>
        <a:xfrm>
          <a:off x="8519583" y="10593918"/>
          <a:ext cx="201084" cy="1428750"/>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0</xdr:colOff>
      <xdr:row>57</xdr:row>
      <xdr:rowOff>0</xdr:rowOff>
    </xdr:from>
    <xdr:to>
      <xdr:col>4</xdr:col>
      <xdr:colOff>243417</xdr:colOff>
      <xdr:row>70</xdr:row>
      <xdr:rowOff>28575</xdr:rowOff>
    </xdr:to>
    <xdr:sp macro="" textlink="">
      <xdr:nvSpPr>
        <xdr:cNvPr id="5" name="Right Brace 4">
          <a:extLst>
            <a:ext uri="{FF2B5EF4-FFF2-40B4-BE49-F238E27FC236}">
              <a16:creationId xmlns:a16="http://schemas.microsoft.com/office/drawing/2014/main" id="{E7B978B2-4B82-4320-8BA0-D72B6DA6AE29}"/>
            </a:ext>
          </a:extLst>
        </xdr:cNvPr>
        <xdr:cNvSpPr/>
      </xdr:nvSpPr>
      <xdr:spPr>
        <a:xfrm>
          <a:off x="8519583" y="12689417"/>
          <a:ext cx="243417" cy="305540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0</xdr:colOff>
      <xdr:row>120</xdr:row>
      <xdr:rowOff>0</xdr:rowOff>
    </xdr:from>
    <xdr:to>
      <xdr:col>6</xdr:col>
      <xdr:colOff>179916</xdr:colOff>
      <xdr:row>130</xdr:row>
      <xdr:rowOff>21166</xdr:rowOff>
    </xdr:to>
    <xdr:sp macro="" textlink="">
      <xdr:nvSpPr>
        <xdr:cNvPr id="6" name="Right Brace 5">
          <a:extLst>
            <a:ext uri="{FF2B5EF4-FFF2-40B4-BE49-F238E27FC236}">
              <a16:creationId xmlns:a16="http://schemas.microsoft.com/office/drawing/2014/main" id="{D4D7D0F9-9834-4F9E-BA34-97AFCB7CAFF1}"/>
            </a:ext>
          </a:extLst>
        </xdr:cNvPr>
        <xdr:cNvSpPr/>
      </xdr:nvSpPr>
      <xdr:spPr>
        <a:xfrm>
          <a:off x="11768667" y="27813000"/>
          <a:ext cx="179916" cy="2349499"/>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ner%20Budget%20Template%20for%20expans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
      <sheetName val="Calc"/>
      <sheetName val="Fees"/>
      <sheetName val="New NHVs-Enrollment Calcs"/>
      <sheetName val="Existing NHVs-Enrollment"/>
    </sheetNames>
    <sheetDataSet>
      <sheetData sheetId="0">
        <row r="27">
          <cell r="B27">
            <v>44378</v>
          </cell>
        </row>
      </sheetData>
      <sheetData sheetId="1" refreshError="1"/>
      <sheetData sheetId="2">
        <row r="5">
          <cell r="M5" t="str">
            <v>Total</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46"/>
  <sheetViews>
    <sheetView showGridLines="0" topLeftCell="A114" zoomScaleNormal="100" workbookViewId="0">
      <selection activeCell="D128" sqref="D128"/>
    </sheetView>
  </sheetViews>
  <sheetFormatPr defaultColWidth="9.140625" defaultRowHeight="12.75" x14ac:dyDescent="0.2"/>
  <cols>
    <col min="1" max="1" width="29.42578125" customWidth="1"/>
    <col min="2" max="2" width="11.85546875" customWidth="1"/>
    <col min="3" max="3" width="22.85546875" bestFit="1" customWidth="1"/>
    <col min="4" max="4" width="11.85546875" customWidth="1"/>
    <col min="5" max="5" width="12.28515625" bestFit="1" customWidth="1"/>
    <col min="6" max="6" width="9.7109375" customWidth="1"/>
    <col min="7" max="7" width="12.7109375" customWidth="1"/>
    <col min="8" max="8" width="6.28515625" style="165" customWidth="1"/>
    <col min="9" max="9" width="12.7109375" customWidth="1"/>
    <col min="10" max="10" width="6.28515625" style="165" customWidth="1"/>
    <col min="11" max="11" width="12.7109375" customWidth="1"/>
    <col min="12" max="12" width="6.28515625" style="165" customWidth="1"/>
    <col min="13" max="13" width="14.28515625" style="113" bestFit="1" customWidth="1"/>
    <col min="14" max="14" width="4.42578125" style="69" customWidth="1"/>
    <col min="15" max="15" width="52" customWidth="1"/>
    <col min="17" max="17" width="10.28515625" bestFit="1" customWidth="1"/>
  </cols>
  <sheetData>
    <row r="1" spans="1:17" ht="18" x14ac:dyDescent="0.25">
      <c r="A1" s="95"/>
      <c r="B1" s="96"/>
      <c r="C1" s="96"/>
      <c r="D1" s="96"/>
      <c r="E1" s="96"/>
      <c r="F1" s="96"/>
      <c r="G1" s="97" t="s">
        <v>0</v>
      </c>
      <c r="H1" s="157"/>
      <c r="I1" s="96"/>
      <c r="J1" s="167"/>
      <c r="K1" s="98"/>
      <c r="L1" s="171"/>
      <c r="M1" s="99"/>
    </row>
    <row r="2" spans="1:17" x14ac:dyDescent="0.2">
      <c r="A2" s="712" t="s">
        <v>1</v>
      </c>
      <c r="B2" s="713"/>
      <c r="C2" s="713"/>
      <c r="D2" s="713"/>
      <c r="E2" s="713"/>
      <c r="F2" s="713"/>
      <c r="G2" s="713"/>
      <c r="H2" s="713"/>
      <c r="I2" s="713"/>
      <c r="J2" s="713"/>
      <c r="K2" s="713"/>
      <c r="L2" s="713"/>
      <c r="M2" s="714"/>
    </row>
    <row r="3" spans="1:17" ht="18" customHeight="1" x14ac:dyDescent="0.25">
      <c r="A3" s="715" t="s">
        <v>2</v>
      </c>
      <c r="B3" s="716"/>
      <c r="C3" s="717"/>
      <c r="D3" s="718" t="s">
        <v>3</v>
      </c>
      <c r="E3" s="718"/>
      <c r="F3" s="718"/>
      <c r="G3" s="718"/>
      <c r="H3" s="718"/>
      <c r="I3" s="718"/>
      <c r="J3" s="718"/>
      <c r="K3" s="718"/>
      <c r="L3" s="718"/>
      <c r="M3" s="719"/>
      <c r="N3" s="70"/>
      <c r="O3" s="100" t="s">
        <v>4</v>
      </c>
    </row>
    <row r="4" spans="1:17" ht="42.75" customHeight="1" x14ac:dyDescent="0.2">
      <c r="A4" s="720" t="s">
        <v>5</v>
      </c>
      <c r="B4" s="720"/>
      <c r="C4" s="721"/>
      <c r="D4" s="721"/>
      <c r="E4" s="721"/>
      <c r="F4" s="721"/>
      <c r="G4" s="721"/>
      <c r="H4" s="721"/>
      <c r="I4" s="721"/>
      <c r="J4" s="721"/>
      <c r="K4" s="721"/>
      <c r="L4" s="721"/>
      <c r="M4" s="721"/>
      <c r="N4" s="70" t="s">
        <v>6</v>
      </c>
      <c r="O4" s="60" t="s">
        <v>7</v>
      </c>
    </row>
    <row r="5" spans="1:17" x14ac:dyDescent="0.2">
      <c r="A5" s="722" t="s">
        <v>8</v>
      </c>
      <c r="B5" s="723"/>
      <c r="C5" s="724"/>
      <c r="D5" s="724"/>
      <c r="E5" s="724"/>
      <c r="F5" s="724"/>
      <c r="G5" s="724"/>
      <c r="H5" s="724"/>
      <c r="I5" s="724"/>
      <c r="J5" s="724"/>
      <c r="K5" s="724"/>
      <c r="L5" s="724"/>
      <c r="M5" s="725"/>
      <c r="N5" s="70" t="s">
        <v>6</v>
      </c>
      <c r="O5" s="1" t="s">
        <v>9</v>
      </c>
    </row>
    <row r="6" spans="1:17" ht="13.5" thickBot="1" x14ac:dyDescent="0.25">
      <c r="A6" s="9" t="s">
        <v>10</v>
      </c>
      <c r="B6" s="10"/>
      <c r="C6" s="10"/>
      <c r="D6" s="10"/>
      <c r="E6" s="10"/>
      <c r="F6" s="10"/>
      <c r="G6" s="189"/>
      <c r="H6" s="190"/>
      <c r="I6" s="189"/>
      <c r="J6" s="190"/>
      <c r="K6" s="189"/>
      <c r="L6" s="158"/>
      <c r="M6" s="178"/>
      <c r="O6" s="54" t="s">
        <v>11</v>
      </c>
    </row>
    <row r="7" spans="1:17" x14ac:dyDescent="0.2">
      <c r="A7" s="67"/>
      <c r="B7" s="68"/>
      <c r="C7" s="68"/>
      <c r="D7" s="68"/>
      <c r="E7" s="193" t="s">
        <v>12</v>
      </c>
      <c r="F7" s="140"/>
      <c r="G7" s="207">
        <f>G14</f>
        <v>43101</v>
      </c>
      <c r="H7" s="226"/>
      <c r="I7" s="227">
        <f>I14</f>
        <v>43466</v>
      </c>
      <c r="J7" s="226"/>
      <c r="K7" s="228">
        <f>K14</f>
        <v>43831</v>
      </c>
      <c r="L7" s="191"/>
      <c r="M7" s="232">
        <f>IF(I7&gt;43159,K7+366,K7+365)</f>
        <v>44197</v>
      </c>
      <c r="O7" s="102" t="s">
        <v>13</v>
      </c>
    </row>
    <row r="8" spans="1:17" x14ac:dyDescent="0.2">
      <c r="A8" s="726" t="s">
        <v>14</v>
      </c>
      <c r="B8" s="727"/>
      <c r="C8" s="727"/>
      <c r="D8" s="728"/>
      <c r="E8" s="728"/>
      <c r="F8" s="42"/>
      <c r="G8" s="212" t="str">
        <f>IF(G16&lt;&gt;0,1,"0")</f>
        <v>0</v>
      </c>
      <c r="H8" s="176"/>
      <c r="I8" s="214" t="str">
        <f>IF(I16&lt;&gt;0,1,"0")</f>
        <v>0</v>
      </c>
      <c r="J8" s="176"/>
      <c r="K8" s="216" t="str">
        <f>IF(K16&lt;&gt;0,1,"0")</f>
        <v>0</v>
      </c>
      <c r="L8" s="180"/>
      <c r="M8" s="80"/>
    </row>
    <row r="9" spans="1:17" x14ac:dyDescent="0.2">
      <c r="A9" s="729" t="s">
        <v>15</v>
      </c>
      <c r="B9" s="730"/>
      <c r="C9" s="730"/>
      <c r="D9" s="731"/>
      <c r="E9" s="731"/>
      <c r="G9" s="213">
        <f>COUNTIF(G17,"&gt;0")+COUNTIF(G27, "&gt;0")</f>
        <v>0</v>
      </c>
      <c r="H9" s="176"/>
      <c r="I9" s="214">
        <f>COUNTIF(I17,"&gt;0")+COUNTIF(I27, "&gt;0")</f>
        <v>0</v>
      </c>
      <c r="J9" s="176"/>
      <c r="K9" s="217">
        <f>COUNTIF(K17,"&gt;0")+COUNTIF(K27, "&gt;0")</f>
        <v>0</v>
      </c>
      <c r="L9" s="180"/>
      <c r="M9" s="192"/>
    </row>
    <row r="10" spans="1:17" x14ac:dyDescent="0.2">
      <c r="A10" s="729" t="s">
        <v>16</v>
      </c>
      <c r="B10" s="730"/>
      <c r="C10" s="730"/>
      <c r="D10" s="731"/>
      <c r="E10" s="731"/>
      <c r="G10" s="213">
        <f>COUNTIF(G18:G25,"&gt;0")+COUNTIF(G28:G35,"&gt;0")</f>
        <v>0</v>
      </c>
      <c r="H10" s="176"/>
      <c r="I10" s="215">
        <f>COUNTIF(I18:I25,"&gt;0")+COUNTIF(I28:I35,"&gt;0")</f>
        <v>0</v>
      </c>
      <c r="J10" s="176"/>
      <c r="K10" s="217">
        <f>COUNTIF(K18:K25,"&gt;0")+COUNTIF(K28:K35,"&gt;0")</f>
        <v>0</v>
      </c>
      <c r="L10" s="180"/>
      <c r="M10" s="192"/>
    </row>
    <row r="11" spans="1:17" ht="13.5" thickBot="1" x14ac:dyDescent="0.25">
      <c r="A11" s="732" t="s">
        <v>17</v>
      </c>
      <c r="B11" s="733"/>
      <c r="C11" s="733"/>
      <c r="D11" s="734"/>
      <c r="E11" s="734"/>
      <c r="F11" s="66"/>
      <c r="G11" s="229">
        <f>COUNTIF(G26,"&gt;0")+COUNTIF(G36,"&gt;0")</f>
        <v>0</v>
      </c>
      <c r="H11" s="177"/>
      <c r="I11" s="230">
        <f>COUNTIF(I26,"&gt;0")+COUNTIF(I36,"&gt;0")</f>
        <v>0</v>
      </c>
      <c r="J11" s="177"/>
      <c r="K11" s="231">
        <f>COUNTIF(K26,"&gt;0")+COUNTIF(K36,"&gt;0")</f>
        <v>0</v>
      </c>
      <c r="L11" s="180"/>
      <c r="M11" s="182"/>
    </row>
    <row r="12" spans="1:17" ht="25.5" customHeight="1" x14ac:dyDescent="0.2">
      <c r="A12" s="735" t="s">
        <v>18</v>
      </c>
      <c r="B12" s="736"/>
      <c r="C12" s="737"/>
      <c r="D12" s="737"/>
      <c r="E12" s="737"/>
      <c r="F12" s="737"/>
      <c r="G12" s="738"/>
      <c r="H12" s="159"/>
      <c r="I12" s="739" t="s">
        <v>19</v>
      </c>
      <c r="J12" s="739"/>
      <c r="K12" s="739"/>
      <c r="L12" s="175"/>
      <c r="M12" s="179"/>
      <c r="N12" s="71"/>
    </row>
    <row r="13" spans="1:17" ht="25.5" x14ac:dyDescent="0.2">
      <c r="A13" s="3"/>
      <c r="B13" s="3" t="s">
        <v>20</v>
      </c>
      <c r="C13" s="4" t="s">
        <v>21</v>
      </c>
      <c r="D13" s="4" t="s">
        <v>22</v>
      </c>
      <c r="E13" s="3"/>
      <c r="F13" s="3"/>
      <c r="G13" s="3"/>
      <c r="H13" s="122"/>
      <c r="I13" s="5">
        <v>0.05</v>
      </c>
      <c r="J13" s="218"/>
      <c r="K13" s="5">
        <v>0.05</v>
      </c>
      <c r="L13" s="218"/>
      <c r="M13" s="29" t="s">
        <v>23</v>
      </c>
    </row>
    <row r="14" spans="1:17" x14ac:dyDescent="0.2">
      <c r="A14" s="142"/>
      <c r="B14" s="142"/>
      <c r="C14" s="4"/>
      <c r="D14" s="4"/>
      <c r="E14" s="710" t="s">
        <v>24</v>
      </c>
      <c r="F14" s="711"/>
      <c r="G14" s="144">
        <v>43101</v>
      </c>
      <c r="H14" s="218"/>
      <c r="I14" s="233">
        <f>G14+365</f>
        <v>43466</v>
      </c>
      <c r="J14" s="234"/>
      <c r="K14" s="233">
        <f>IF(G14&gt;43159,I14+366,I14+365)</f>
        <v>43831</v>
      </c>
      <c r="L14" s="162"/>
      <c r="M14" s="145"/>
      <c r="N14" s="70" t="s">
        <v>6</v>
      </c>
      <c r="O14" t="s">
        <v>25</v>
      </c>
    </row>
    <row r="15" spans="1:17" x14ac:dyDescent="0.2">
      <c r="A15" s="6" t="s">
        <v>26</v>
      </c>
      <c r="B15" s="6"/>
      <c r="C15" s="4"/>
      <c r="D15" s="678">
        <v>0.26</v>
      </c>
      <c r="E15" s="679" t="s">
        <v>23</v>
      </c>
      <c r="F15" s="679" t="s">
        <v>27</v>
      </c>
      <c r="G15" s="3"/>
      <c r="H15" s="188" t="s">
        <v>28</v>
      </c>
      <c r="I15" s="3"/>
      <c r="J15" s="188" t="s">
        <v>28</v>
      </c>
      <c r="K15" s="3"/>
      <c r="L15" s="188" t="s">
        <v>28</v>
      </c>
      <c r="M15" s="28"/>
      <c r="N15" s="70" t="s">
        <v>6</v>
      </c>
      <c r="O15" s="49" t="s">
        <v>29</v>
      </c>
      <c r="Q15" s="219"/>
    </row>
    <row r="16" spans="1:17" x14ac:dyDescent="0.2">
      <c r="A16" s="235" t="s">
        <v>30</v>
      </c>
      <c r="B16" s="236"/>
      <c r="C16" s="52">
        <v>0</v>
      </c>
      <c r="D16" s="32">
        <f t="shared" ref="D16:D35" si="0">C16*$D$15</f>
        <v>0</v>
      </c>
      <c r="E16" s="32">
        <f t="shared" ref="E16:E21" si="1">C16+D16</f>
        <v>0</v>
      </c>
      <c r="F16" s="7">
        <v>0.1</v>
      </c>
      <c r="G16" s="143">
        <f>IF(ISBLANK(B16),0,IF($B16&gt;=G$14,IF($B16&lt;I$14,(((I$14-$B16)/($I$14-$G$14))*$E16*$F16),0),($E16*$F16)))</f>
        <v>0</v>
      </c>
      <c r="H16" s="156">
        <f>IFERROR(G16/$G$145,0)</f>
        <v>0</v>
      </c>
      <c r="I16" s="143">
        <f>IF(ISBLANK($B16),0,IF($B16&gt;=I$14,IF($B16&lt;K$14,(((K$14-$B16)/($K$14-$I$14))*$E16*$F16),0),($E16*$F16))*(1+I$13))</f>
        <v>0</v>
      </c>
      <c r="J16" s="156">
        <f>IFERROR(I16/$I$145,0)</f>
        <v>0</v>
      </c>
      <c r="K16" s="143">
        <f>IF(ISBLANK($B16),0,IF($B16&gt;=K$14,IF($B16&lt;M$7,(((M$7-$B16)/($M$7-$K$14))*$E16*$F16),0),($E16*$F16))*(1+I$13)*(1+K$13))</f>
        <v>0</v>
      </c>
      <c r="L16" s="156">
        <f>IFERROR(K16/$K$145,0)</f>
        <v>0</v>
      </c>
      <c r="M16" s="87">
        <f>G16+I16+K16</f>
        <v>0</v>
      </c>
      <c r="N16" s="70" t="s">
        <v>6</v>
      </c>
      <c r="O16" s="49" t="s">
        <v>31</v>
      </c>
    </row>
    <row r="17" spans="1:15" x14ac:dyDescent="0.2">
      <c r="A17" s="209" t="s">
        <v>32</v>
      </c>
      <c r="B17" s="236"/>
      <c r="C17" s="52">
        <v>0</v>
      </c>
      <c r="D17" s="32">
        <f t="shared" si="0"/>
        <v>0</v>
      </c>
      <c r="E17" s="32">
        <f t="shared" si="1"/>
        <v>0</v>
      </c>
      <c r="F17" s="7">
        <v>1</v>
      </c>
      <c r="G17" s="143">
        <f t="shared" ref="G17:G37" si="2">IF(ISBLANK(B17),0,IF($B17&gt;=G$14,IF($B17&lt;I$14,(((I$14-$B17)/($I$14-$G$14))*$E17*$F17),0),($E17*$F17)))</f>
        <v>0</v>
      </c>
      <c r="H17" s="156">
        <f t="shared" ref="H17:H80" si="3">IFERROR(G17/$G$145,0)</f>
        <v>0</v>
      </c>
      <c r="I17" s="143">
        <f t="shared" ref="I17:I37" si="4">IF(ISBLANK($B17),0,IF($B17&gt;=I$14,IF($B17&lt;K$14,(((K$14-$B17)/($K$14-$I$14))*$E17*$F17),0),($E17*$F17))*(1+I$13))</f>
        <v>0</v>
      </c>
      <c r="J17" s="156">
        <f t="shared" ref="J17:J40" si="5">IFERROR(I17/$I$145,0)</f>
        <v>0</v>
      </c>
      <c r="K17" s="143">
        <f t="shared" ref="K17:K37" si="6">IF(ISBLANK($B17),0,IF($B17&gt;=K$14,IF($B17&lt;M$7,(((M$7-$B17)/($M$7-$K$14))*$E17*$F17),0),($E17*$F17))*(1+I$13)*(1+K$13))</f>
        <v>0</v>
      </c>
      <c r="L17" s="156">
        <f t="shared" ref="L17:L40" si="7">IFERROR(K17/$K$145,0)</f>
        <v>0</v>
      </c>
      <c r="M17" s="87">
        <f t="shared" ref="M17:M76" si="8">G17+I17+K17</f>
        <v>0</v>
      </c>
      <c r="N17" s="70" t="s">
        <v>6</v>
      </c>
      <c r="O17" t="s">
        <v>33</v>
      </c>
    </row>
    <row r="18" spans="1:15" x14ac:dyDescent="0.2">
      <c r="A18" s="235" t="s">
        <v>34</v>
      </c>
      <c r="B18" s="236"/>
      <c r="C18" s="52">
        <v>0</v>
      </c>
      <c r="D18" s="32">
        <f t="shared" si="0"/>
        <v>0</v>
      </c>
      <c r="E18" s="32">
        <f t="shared" si="1"/>
        <v>0</v>
      </c>
      <c r="F18" s="7">
        <v>1</v>
      </c>
      <c r="G18" s="143">
        <f t="shared" si="2"/>
        <v>0</v>
      </c>
      <c r="H18" s="156">
        <f t="shared" si="3"/>
        <v>0</v>
      </c>
      <c r="I18" s="143">
        <f t="shared" si="4"/>
        <v>0</v>
      </c>
      <c r="J18" s="156">
        <f t="shared" si="5"/>
        <v>0</v>
      </c>
      <c r="K18" s="143">
        <f t="shared" si="6"/>
        <v>0</v>
      </c>
      <c r="L18" s="156">
        <f t="shared" si="7"/>
        <v>0</v>
      </c>
      <c r="M18" s="87">
        <f t="shared" si="8"/>
        <v>0</v>
      </c>
      <c r="N18" s="70" t="s">
        <v>6</v>
      </c>
      <c r="O18" s="49" t="s">
        <v>35</v>
      </c>
    </row>
    <row r="19" spans="1:15" x14ac:dyDescent="0.2">
      <c r="A19" s="235" t="s">
        <v>36</v>
      </c>
      <c r="B19" s="236"/>
      <c r="C19" s="52">
        <v>0</v>
      </c>
      <c r="D19" s="32">
        <f t="shared" si="0"/>
        <v>0</v>
      </c>
      <c r="E19" s="32">
        <f t="shared" si="1"/>
        <v>0</v>
      </c>
      <c r="F19" s="7">
        <v>1</v>
      </c>
      <c r="G19" s="143">
        <f t="shared" si="2"/>
        <v>0</v>
      </c>
      <c r="H19" s="156">
        <f t="shared" si="3"/>
        <v>0</v>
      </c>
      <c r="I19" s="143">
        <f t="shared" si="4"/>
        <v>0</v>
      </c>
      <c r="J19" s="156">
        <f t="shared" si="5"/>
        <v>0</v>
      </c>
      <c r="K19" s="143">
        <f t="shared" si="6"/>
        <v>0</v>
      </c>
      <c r="L19" s="156">
        <f t="shared" si="7"/>
        <v>0</v>
      </c>
      <c r="M19" s="87">
        <f t="shared" si="8"/>
        <v>0</v>
      </c>
      <c r="N19" s="72"/>
      <c r="O19" s="49"/>
    </row>
    <row r="20" spans="1:15" x14ac:dyDescent="0.2">
      <c r="A20" s="235" t="s">
        <v>37</v>
      </c>
      <c r="B20" s="236"/>
      <c r="C20" s="52">
        <v>0</v>
      </c>
      <c r="D20" s="32">
        <f t="shared" si="0"/>
        <v>0</v>
      </c>
      <c r="E20" s="32">
        <f t="shared" si="1"/>
        <v>0</v>
      </c>
      <c r="F20" s="7">
        <v>1</v>
      </c>
      <c r="G20" s="143">
        <f t="shared" si="2"/>
        <v>0</v>
      </c>
      <c r="H20" s="156">
        <f t="shared" si="3"/>
        <v>0</v>
      </c>
      <c r="I20" s="143">
        <f t="shared" si="4"/>
        <v>0</v>
      </c>
      <c r="J20" s="156">
        <f t="shared" si="5"/>
        <v>0</v>
      </c>
      <c r="K20" s="143">
        <f t="shared" si="6"/>
        <v>0</v>
      </c>
      <c r="L20" s="156">
        <f t="shared" si="7"/>
        <v>0</v>
      </c>
      <c r="M20" s="87">
        <f t="shared" si="8"/>
        <v>0</v>
      </c>
      <c r="N20" s="70"/>
      <c r="O20" s="49"/>
    </row>
    <row r="21" spans="1:15" x14ac:dyDescent="0.2">
      <c r="A21" s="235" t="s">
        <v>38</v>
      </c>
      <c r="B21" s="236"/>
      <c r="C21" s="52">
        <v>0</v>
      </c>
      <c r="D21" s="32">
        <f t="shared" si="0"/>
        <v>0</v>
      </c>
      <c r="E21" s="32">
        <f t="shared" si="1"/>
        <v>0</v>
      </c>
      <c r="F21" s="7">
        <v>1</v>
      </c>
      <c r="G21" s="143">
        <f t="shared" si="2"/>
        <v>0</v>
      </c>
      <c r="H21" s="156">
        <f t="shared" si="3"/>
        <v>0</v>
      </c>
      <c r="I21" s="143">
        <f t="shared" si="4"/>
        <v>0</v>
      </c>
      <c r="J21" s="156">
        <f t="shared" si="5"/>
        <v>0</v>
      </c>
      <c r="K21" s="143">
        <f t="shared" si="6"/>
        <v>0</v>
      </c>
      <c r="L21" s="156">
        <f t="shared" si="7"/>
        <v>0</v>
      </c>
      <c r="M21" s="87">
        <f t="shared" si="8"/>
        <v>0</v>
      </c>
      <c r="N21" s="70"/>
    </row>
    <row r="22" spans="1:15" x14ac:dyDescent="0.2">
      <c r="A22" s="235" t="s">
        <v>39</v>
      </c>
      <c r="B22" s="236"/>
      <c r="C22" s="52">
        <v>0</v>
      </c>
      <c r="D22" s="32">
        <f t="shared" si="0"/>
        <v>0</v>
      </c>
      <c r="E22" s="32">
        <f t="shared" ref="E22:E27" si="9">C22+D22</f>
        <v>0</v>
      </c>
      <c r="F22" s="7">
        <v>1</v>
      </c>
      <c r="G22" s="143">
        <f t="shared" si="2"/>
        <v>0</v>
      </c>
      <c r="H22" s="156">
        <f t="shared" si="3"/>
        <v>0</v>
      </c>
      <c r="I22" s="143">
        <f t="shared" si="4"/>
        <v>0</v>
      </c>
      <c r="J22" s="156">
        <f t="shared" si="5"/>
        <v>0</v>
      </c>
      <c r="K22" s="143">
        <f t="shared" si="6"/>
        <v>0</v>
      </c>
      <c r="L22" s="156">
        <f t="shared" si="7"/>
        <v>0</v>
      </c>
      <c r="M22" s="87">
        <f t="shared" si="8"/>
        <v>0</v>
      </c>
      <c r="N22" s="70"/>
    </row>
    <row r="23" spans="1:15" x14ac:dyDescent="0.2">
      <c r="A23" s="235" t="s">
        <v>40</v>
      </c>
      <c r="B23" s="236"/>
      <c r="C23" s="52">
        <v>0</v>
      </c>
      <c r="D23" s="32">
        <f t="shared" si="0"/>
        <v>0</v>
      </c>
      <c r="E23" s="32">
        <f t="shared" si="9"/>
        <v>0</v>
      </c>
      <c r="F23" s="7">
        <v>1</v>
      </c>
      <c r="G23" s="143">
        <f t="shared" si="2"/>
        <v>0</v>
      </c>
      <c r="H23" s="156">
        <f t="shared" si="3"/>
        <v>0</v>
      </c>
      <c r="I23" s="143">
        <f t="shared" si="4"/>
        <v>0</v>
      </c>
      <c r="J23" s="156">
        <f t="shared" si="5"/>
        <v>0</v>
      </c>
      <c r="K23" s="143">
        <f t="shared" si="6"/>
        <v>0</v>
      </c>
      <c r="L23" s="156">
        <f t="shared" si="7"/>
        <v>0</v>
      </c>
      <c r="M23" s="87">
        <f t="shared" si="8"/>
        <v>0</v>
      </c>
      <c r="N23" s="70"/>
    </row>
    <row r="24" spans="1:15" x14ac:dyDescent="0.2">
      <c r="A24" s="235" t="s">
        <v>41</v>
      </c>
      <c r="B24" s="236"/>
      <c r="C24" s="52">
        <v>0</v>
      </c>
      <c r="D24" s="32">
        <f t="shared" si="0"/>
        <v>0</v>
      </c>
      <c r="E24" s="32">
        <f t="shared" si="9"/>
        <v>0</v>
      </c>
      <c r="F24" s="7">
        <v>1</v>
      </c>
      <c r="G24" s="143">
        <f t="shared" si="2"/>
        <v>0</v>
      </c>
      <c r="H24" s="156">
        <f t="shared" si="3"/>
        <v>0</v>
      </c>
      <c r="I24" s="143">
        <f t="shared" si="4"/>
        <v>0</v>
      </c>
      <c r="J24" s="156">
        <f t="shared" si="5"/>
        <v>0</v>
      </c>
      <c r="K24" s="143">
        <f t="shared" si="6"/>
        <v>0</v>
      </c>
      <c r="L24" s="156">
        <f t="shared" si="7"/>
        <v>0</v>
      </c>
      <c r="M24" s="87">
        <f t="shared" si="8"/>
        <v>0</v>
      </c>
      <c r="N24" s="70"/>
    </row>
    <row r="25" spans="1:15" x14ac:dyDescent="0.2">
      <c r="A25" s="235" t="s">
        <v>42</v>
      </c>
      <c r="B25" s="236"/>
      <c r="C25" s="52">
        <v>0</v>
      </c>
      <c r="D25" s="32">
        <f t="shared" si="0"/>
        <v>0</v>
      </c>
      <c r="E25" s="32">
        <f t="shared" si="9"/>
        <v>0</v>
      </c>
      <c r="F25" s="7">
        <v>1</v>
      </c>
      <c r="G25" s="143">
        <f t="shared" si="2"/>
        <v>0</v>
      </c>
      <c r="H25" s="156">
        <f t="shared" si="3"/>
        <v>0</v>
      </c>
      <c r="I25" s="143">
        <f t="shared" si="4"/>
        <v>0</v>
      </c>
      <c r="J25" s="156">
        <f t="shared" si="5"/>
        <v>0</v>
      </c>
      <c r="K25" s="143">
        <f t="shared" si="6"/>
        <v>0</v>
      </c>
      <c r="L25" s="156">
        <f t="shared" si="7"/>
        <v>0</v>
      </c>
      <c r="M25" s="87">
        <f t="shared" si="8"/>
        <v>0</v>
      </c>
      <c r="N25" s="70"/>
      <c r="O25" s="31"/>
    </row>
    <row r="26" spans="1:15" x14ac:dyDescent="0.2">
      <c r="A26" s="235" t="s">
        <v>43</v>
      </c>
      <c r="B26" s="236"/>
      <c r="C26" s="52">
        <v>0</v>
      </c>
      <c r="D26" s="32">
        <f t="shared" si="0"/>
        <v>0</v>
      </c>
      <c r="E26" s="32">
        <f t="shared" si="9"/>
        <v>0</v>
      </c>
      <c r="F26" s="7">
        <v>1</v>
      </c>
      <c r="G26" s="143">
        <f t="shared" si="2"/>
        <v>0</v>
      </c>
      <c r="H26" s="156">
        <f t="shared" si="3"/>
        <v>0</v>
      </c>
      <c r="I26" s="143">
        <f t="shared" si="4"/>
        <v>0</v>
      </c>
      <c r="J26" s="156">
        <f t="shared" si="5"/>
        <v>0</v>
      </c>
      <c r="K26" s="143">
        <f t="shared" si="6"/>
        <v>0</v>
      </c>
      <c r="L26" s="156">
        <f t="shared" si="7"/>
        <v>0</v>
      </c>
      <c r="M26" s="221">
        <f t="shared" si="8"/>
        <v>0</v>
      </c>
      <c r="N26" s="70"/>
      <c r="O26" s="31"/>
    </row>
    <row r="27" spans="1:15" x14ac:dyDescent="0.2">
      <c r="A27" s="209" t="s">
        <v>44</v>
      </c>
      <c r="B27" s="236"/>
      <c r="C27" s="52">
        <v>0</v>
      </c>
      <c r="D27" s="32">
        <f t="shared" si="0"/>
        <v>0</v>
      </c>
      <c r="E27" s="32">
        <f t="shared" si="9"/>
        <v>0</v>
      </c>
      <c r="F27" s="7">
        <v>1</v>
      </c>
      <c r="G27" s="143">
        <f t="shared" si="2"/>
        <v>0</v>
      </c>
      <c r="H27" s="156">
        <f t="shared" si="3"/>
        <v>0</v>
      </c>
      <c r="I27" s="143">
        <f t="shared" si="4"/>
        <v>0</v>
      </c>
      <c r="J27" s="156">
        <f t="shared" si="5"/>
        <v>0</v>
      </c>
      <c r="K27" s="143">
        <f t="shared" si="6"/>
        <v>0</v>
      </c>
      <c r="L27" s="156">
        <f t="shared" si="7"/>
        <v>0</v>
      </c>
      <c r="M27" s="221">
        <f t="shared" si="8"/>
        <v>0</v>
      </c>
      <c r="N27" s="70"/>
      <c r="O27" s="223" t="str">
        <f>IF(AND(COUNTIF(M28:M35,"&gt;0")&gt;0,M27=0),"You must have a second Supervisor","")</f>
        <v/>
      </c>
    </row>
    <row r="28" spans="1:15" x14ac:dyDescent="0.2">
      <c r="A28" s="209" t="s">
        <v>45</v>
      </c>
      <c r="B28" s="236"/>
      <c r="C28" s="52">
        <v>0</v>
      </c>
      <c r="D28" s="32">
        <f t="shared" si="0"/>
        <v>0</v>
      </c>
      <c r="E28" s="32">
        <f t="shared" ref="E28:E37" si="10">C28+D28</f>
        <v>0</v>
      </c>
      <c r="F28" s="7">
        <v>1</v>
      </c>
      <c r="G28" s="143">
        <f t="shared" si="2"/>
        <v>0</v>
      </c>
      <c r="H28" s="156">
        <f t="shared" si="3"/>
        <v>0</v>
      </c>
      <c r="I28" s="143">
        <f t="shared" si="4"/>
        <v>0</v>
      </c>
      <c r="J28" s="156">
        <f t="shared" si="5"/>
        <v>0</v>
      </c>
      <c r="K28" s="143">
        <f t="shared" si="6"/>
        <v>0</v>
      </c>
      <c r="L28" s="156">
        <f t="shared" si="7"/>
        <v>0</v>
      </c>
      <c r="M28" s="221">
        <f t="shared" si="8"/>
        <v>0</v>
      </c>
      <c r="N28" s="70"/>
      <c r="O28" s="220" t="str">
        <f>IF(AND(SUM(M29:M36)&gt;1,M28&gt;1),"You must have a Nurse Supervisor 2","")</f>
        <v/>
      </c>
    </row>
    <row r="29" spans="1:15" x14ac:dyDescent="0.2">
      <c r="A29" s="209" t="s">
        <v>46</v>
      </c>
      <c r="B29" s="236"/>
      <c r="C29" s="52">
        <v>0</v>
      </c>
      <c r="D29" s="32">
        <f t="shared" si="0"/>
        <v>0</v>
      </c>
      <c r="E29" s="32">
        <f t="shared" si="10"/>
        <v>0</v>
      </c>
      <c r="F29" s="7">
        <v>1</v>
      </c>
      <c r="G29" s="143">
        <f t="shared" si="2"/>
        <v>0</v>
      </c>
      <c r="H29" s="156">
        <f t="shared" si="3"/>
        <v>0</v>
      </c>
      <c r="I29" s="143">
        <f t="shared" si="4"/>
        <v>0</v>
      </c>
      <c r="J29" s="156">
        <f t="shared" si="5"/>
        <v>0</v>
      </c>
      <c r="K29" s="143">
        <f t="shared" si="6"/>
        <v>0</v>
      </c>
      <c r="L29" s="156">
        <f t="shared" si="7"/>
        <v>0</v>
      </c>
      <c r="M29" s="221">
        <f t="shared" si="8"/>
        <v>0</v>
      </c>
      <c r="N29" s="70"/>
      <c r="O29" s="222"/>
    </row>
    <row r="30" spans="1:15" x14ac:dyDescent="0.2">
      <c r="A30" s="209" t="s">
        <v>47</v>
      </c>
      <c r="B30" s="236"/>
      <c r="C30" s="52">
        <v>0</v>
      </c>
      <c r="D30" s="32">
        <f t="shared" si="0"/>
        <v>0</v>
      </c>
      <c r="E30" s="32">
        <f t="shared" si="10"/>
        <v>0</v>
      </c>
      <c r="F30" s="7">
        <v>1</v>
      </c>
      <c r="G30" s="143">
        <f t="shared" si="2"/>
        <v>0</v>
      </c>
      <c r="H30" s="156">
        <f t="shared" si="3"/>
        <v>0</v>
      </c>
      <c r="I30" s="143">
        <f t="shared" si="4"/>
        <v>0</v>
      </c>
      <c r="J30" s="156">
        <f t="shared" si="5"/>
        <v>0</v>
      </c>
      <c r="K30" s="143">
        <f t="shared" si="6"/>
        <v>0</v>
      </c>
      <c r="L30" s="156">
        <f t="shared" si="7"/>
        <v>0</v>
      </c>
      <c r="M30" s="221">
        <f t="shared" si="8"/>
        <v>0</v>
      </c>
      <c r="N30" s="70"/>
      <c r="O30" s="31"/>
    </row>
    <row r="31" spans="1:15" x14ac:dyDescent="0.2">
      <c r="A31" s="209" t="s">
        <v>48</v>
      </c>
      <c r="B31" s="236"/>
      <c r="C31" s="52">
        <v>0</v>
      </c>
      <c r="D31" s="32">
        <f t="shared" si="0"/>
        <v>0</v>
      </c>
      <c r="E31" s="32">
        <f t="shared" si="10"/>
        <v>0</v>
      </c>
      <c r="F31" s="7">
        <v>1</v>
      </c>
      <c r="G31" s="143">
        <f t="shared" si="2"/>
        <v>0</v>
      </c>
      <c r="H31" s="156">
        <f t="shared" si="3"/>
        <v>0</v>
      </c>
      <c r="I31" s="143">
        <f t="shared" si="4"/>
        <v>0</v>
      </c>
      <c r="J31" s="156">
        <f t="shared" si="5"/>
        <v>0</v>
      </c>
      <c r="K31" s="143">
        <f t="shared" si="6"/>
        <v>0</v>
      </c>
      <c r="L31" s="156">
        <f t="shared" si="7"/>
        <v>0</v>
      </c>
      <c r="M31" s="221">
        <f t="shared" si="8"/>
        <v>0</v>
      </c>
      <c r="N31" s="70"/>
      <c r="O31" s="31"/>
    </row>
    <row r="32" spans="1:15" x14ac:dyDescent="0.2">
      <c r="A32" s="209" t="s">
        <v>49</v>
      </c>
      <c r="B32" s="236"/>
      <c r="C32" s="52">
        <v>0</v>
      </c>
      <c r="D32" s="32">
        <f t="shared" si="0"/>
        <v>0</v>
      </c>
      <c r="E32" s="32">
        <f t="shared" si="10"/>
        <v>0</v>
      </c>
      <c r="F32" s="7">
        <v>1</v>
      </c>
      <c r="G32" s="143">
        <f t="shared" si="2"/>
        <v>0</v>
      </c>
      <c r="H32" s="156">
        <f t="shared" si="3"/>
        <v>0</v>
      </c>
      <c r="I32" s="143">
        <f t="shared" si="4"/>
        <v>0</v>
      </c>
      <c r="J32" s="156">
        <f t="shared" si="5"/>
        <v>0</v>
      </c>
      <c r="K32" s="143">
        <f t="shared" si="6"/>
        <v>0</v>
      </c>
      <c r="L32" s="156">
        <f t="shared" si="7"/>
        <v>0</v>
      </c>
      <c r="M32" s="221">
        <f t="shared" si="8"/>
        <v>0</v>
      </c>
      <c r="N32" s="70"/>
      <c r="O32" s="31"/>
    </row>
    <row r="33" spans="1:15" x14ac:dyDescent="0.2">
      <c r="A33" s="209" t="s">
        <v>50</v>
      </c>
      <c r="B33" s="236"/>
      <c r="C33" s="52">
        <v>0</v>
      </c>
      <c r="D33" s="32">
        <f t="shared" si="0"/>
        <v>0</v>
      </c>
      <c r="E33" s="32">
        <f t="shared" si="10"/>
        <v>0</v>
      </c>
      <c r="F33" s="7">
        <v>1</v>
      </c>
      <c r="G33" s="143">
        <f t="shared" si="2"/>
        <v>0</v>
      </c>
      <c r="H33" s="156">
        <f t="shared" si="3"/>
        <v>0</v>
      </c>
      <c r="I33" s="143">
        <f t="shared" si="4"/>
        <v>0</v>
      </c>
      <c r="J33" s="156">
        <f t="shared" si="5"/>
        <v>0</v>
      </c>
      <c r="K33" s="143">
        <f t="shared" si="6"/>
        <v>0</v>
      </c>
      <c r="L33" s="156">
        <f t="shared" si="7"/>
        <v>0</v>
      </c>
      <c r="M33" s="221">
        <f t="shared" si="8"/>
        <v>0</v>
      </c>
      <c r="N33" s="70"/>
      <c r="O33" s="31"/>
    </row>
    <row r="34" spans="1:15" x14ac:dyDescent="0.2">
      <c r="A34" s="209" t="s">
        <v>51</v>
      </c>
      <c r="B34" s="236"/>
      <c r="C34" s="52">
        <v>0</v>
      </c>
      <c r="D34" s="32">
        <f t="shared" si="0"/>
        <v>0</v>
      </c>
      <c r="E34" s="32">
        <f t="shared" si="10"/>
        <v>0</v>
      </c>
      <c r="F34" s="7">
        <v>1</v>
      </c>
      <c r="G34" s="143">
        <f t="shared" si="2"/>
        <v>0</v>
      </c>
      <c r="H34" s="156">
        <f t="shared" si="3"/>
        <v>0</v>
      </c>
      <c r="I34" s="143">
        <f t="shared" si="4"/>
        <v>0</v>
      </c>
      <c r="J34" s="156">
        <f t="shared" si="5"/>
        <v>0</v>
      </c>
      <c r="K34" s="143">
        <f t="shared" si="6"/>
        <v>0</v>
      </c>
      <c r="L34" s="156">
        <f t="shared" si="7"/>
        <v>0</v>
      </c>
      <c r="M34" s="221">
        <f t="shared" si="8"/>
        <v>0</v>
      </c>
      <c r="N34" s="70"/>
      <c r="O34" s="31"/>
    </row>
    <row r="35" spans="1:15" x14ac:dyDescent="0.2">
      <c r="A35" s="209" t="s">
        <v>52</v>
      </c>
      <c r="B35" s="236"/>
      <c r="C35" s="52">
        <v>0</v>
      </c>
      <c r="D35" s="32">
        <f t="shared" si="0"/>
        <v>0</v>
      </c>
      <c r="E35" s="32">
        <f t="shared" si="10"/>
        <v>0</v>
      </c>
      <c r="F35" s="7">
        <v>1</v>
      </c>
      <c r="G35" s="143">
        <f t="shared" si="2"/>
        <v>0</v>
      </c>
      <c r="H35" s="156">
        <f t="shared" si="3"/>
        <v>0</v>
      </c>
      <c r="I35" s="143">
        <f t="shared" si="4"/>
        <v>0</v>
      </c>
      <c r="J35" s="156">
        <f t="shared" si="5"/>
        <v>0</v>
      </c>
      <c r="K35" s="143">
        <f t="shared" si="6"/>
        <v>0</v>
      </c>
      <c r="L35" s="156">
        <f t="shared" si="7"/>
        <v>0</v>
      </c>
      <c r="M35" s="87">
        <f t="shared" si="8"/>
        <v>0</v>
      </c>
      <c r="N35" s="70"/>
      <c r="O35" s="31"/>
    </row>
    <row r="36" spans="1:15" x14ac:dyDescent="0.2">
      <c r="A36" s="235" t="s">
        <v>53</v>
      </c>
      <c r="B36" s="236"/>
      <c r="C36" s="52">
        <v>0</v>
      </c>
      <c r="D36" s="32">
        <f>C36*$D$15</f>
        <v>0</v>
      </c>
      <c r="E36" s="32">
        <f t="shared" si="10"/>
        <v>0</v>
      </c>
      <c r="F36" s="7">
        <v>1</v>
      </c>
      <c r="G36" s="143">
        <f t="shared" si="2"/>
        <v>0</v>
      </c>
      <c r="H36" s="156">
        <f t="shared" si="3"/>
        <v>0</v>
      </c>
      <c r="I36" s="143">
        <f t="shared" si="4"/>
        <v>0</v>
      </c>
      <c r="J36" s="156">
        <f t="shared" si="5"/>
        <v>0</v>
      </c>
      <c r="K36" s="143">
        <f t="shared" si="6"/>
        <v>0</v>
      </c>
      <c r="L36" s="156">
        <f t="shared" si="7"/>
        <v>0</v>
      </c>
      <c r="M36" s="87">
        <f t="shared" si="8"/>
        <v>0</v>
      </c>
      <c r="N36" s="70"/>
      <c r="O36" s="20"/>
    </row>
    <row r="37" spans="1:15" x14ac:dyDescent="0.2">
      <c r="A37" s="237" t="s">
        <v>54</v>
      </c>
      <c r="B37" s="236"/>
      <c r="C37" s="52">
        <v>0</v>
      </c>
      <c r="D37" s="77">
        <f>C37*$D$15</f>
        <v>0</v>
      </c>
      <c r="E37" s="77">
        <f t="shared" si="10"/>
        <v>0</v>
      </c>
      <c r="F37" s="135">
        <v>1</v>
      </c>
      <c r="G37" s="143">
        <f t="shared" si="2"/>
        <v>0</v>
      </c>
      <c r="H37" s="156">
        <f t="shared" si="3"/>
        <v>0</v>
      </c>
      <c r="I37" s="143">
        <f t="shared" si="4"/>
        <v>0</v>
      </c>
      <c r="J37" s="156">
        <f t="shared" si="5"/>
        <v>0</v>
      </c>
      <c r="K37" s="143">
        <f t="shared" si="6"/>
        <v>0</v>
      </c>
      <c r="L37" s="156">
        <f t="shared" si="7"/>
        <v>0</v>
      </c>
      <c r="M37" s="87">
        <f t="shared" si="8"/>
        <v>0</v>
      </c>
      <c r="N37" s="70"/>
      <c r="O37" s="20"/>
    </row>
    <row r="38" spans="1:15" x14ac:dyDescent="0.2">
      <c r="A38" s="80" t="s">
        <v>55</v>
      </c>
      <c r="B38" s="80"/>
      <c r="C38" s="91"/>
      <c r="D38" s="84"/>
      <c r="E38" s="84"/>
      <c r="F38" s="104"/>
      <c r="G38" s="24">
        <f>SUM(G16:G37)</f>
        <v>0</v>
      </c>
      <c r="H38" s="156">
        <f t="shared" si="3"/>
        <v>0</v>
      </c>
      <c r="I38" s="24">
        <f>SUM(I16:I37)</f>
        <v>0</v>
      </c>
      <c r="J38" s="156">
        <f t="shared" si="5"/>
        <v>0</v>
      </c>
      <c r="K38" s="24">
        <f>SUM(K16:K37)</f>
        <v>0</v>
      </c>
      <c r="L38" s="156">
        <f t="shared" si="7"/>
        <v>0</v>
      </c>
      <c r="M38" s="87">
        <f>G38+I38+K38</f>
        <v>0</v>
      </c>
      <c r="N38" s="70"/>
      <c r="O38" s="20"/>
    </row>
    <row r="39" spans="1:15" ht="13.5" thickBot="1" x14ac:dyDescent="0.25">
      <c r="A39" s="80" t="s">
        <v>56</v>
      </c>
      <c r="B39" s="80"/>
      <c r="C39" s="92">
        <v>0</v>
      </c>
      <c r="D39" s="84"/>
      <c r="E39" s="84"/>
      <c r="F39" s="104"/>
      <c r="G39" s="61">
        <f>G38*C39</f>
        <v>0</v>
      </c>
      <c r="H39" s="156">
        <f t="shared" si="3"/>
        <v>0</v>
      </c>
      <c r="I39" s="61">
        <f>I38*C39</f>
        <v>0</v>
      </c>
      <c r="J39" s="156">
        <f t="shared" si="5"/>
        <v>0</v>
      </c>
      <c r="K39" s="85">
        <f>K38*C39</f>
        <v>0</v>
      </c>
      <c r="L39" s="156">
        <f t="shared" si="7"/>
        <v>0</v>
      </c>
      <c r="M39" s="85">
        <f>G39+I39+K39</f>
        <v>0</v>
      </c>
      <c r="N39" s="72" t="s">
        <v>6</v>
      </c>
      <c r="O39" s="79" t="s">
        <v>57</v>
      </c>
    </row>
    <row r="40" spans="1:15" ht="13.5" thickBot="1" x14ac:dyDescent="0.25">
      <c r="A40" s="8" t="s">
        <v>58</v>
      </c>
      <c r="B40" s="8"/>
      <c r="C40" s="8"/>
      <c r="D40" s="8"/>
      <c r="E40" s="8"/>
      <c r="F40" s="8"/>
      <c r="G40" s="24">
        <f>SUM(G38:G39)</f>
        <v>0</v>
      </c>
      <c r="H40" s="156">
        <f t="shared" si="3"/>
        <v>0</v>
      </c>
      <c r="I40" s="24">
        <f>SUM(I38:I39)</f>
        <v>0</v>
      </c>
      <c r="J40" s="156">
        <f t="shared" si="5"/>
        <v>0</v>
      </c>
      <c r="K40" s="24">
        <f>SUM(K38:K39)</f>
        <v>0</v>
      </c>
      <c r="L40" s="156">
        <f t="shared" si="7"/>
        <v>0</v>
      </c>
      <c r="M40" s="151">
        <f>G40+I40+K40</f>
        <v>0</v>
      </c>
      <c r="N40" s="70"/>
      <c r="O40" s="20"/>
    </row>
    <row r="41" spans="1:15" ht="15" x14ac:dyDescent="0.2">
      <c r="A41" s="67"/>
      <c r="B41" s="68"/>
      <c r="C41" s="68"/>
      <c r="D41" s="68"/>
      <c r="E41" s="68"/>
      <c r="F41" s="68"/>
      <c r="G41" s="74"/>
      <c r="H41" s="74"/>
      <c r="I41" s="74"/>
      <c r="J41" s="161"/>
      <c r="K41" s="74"/>
      <c r="L41" s="168"/>
      <c r="M41" s="152"/>
      <c r="N41" s="70"/>
      <c r="O41" s="100"/>
    </row>
    <row r="42" spans="1:15" x14ac:dyDescent="0.2">
      <c r="A42" s="9" t="s">
        <v>59</v>
      </c>
      <c r="B42" s="10"/>
      <c r="C42" s="10"/>
      <c r="D42" s="10"/>
      <c r="E42" s="10"/>
      <c r="F42" s="10"/>
      <c r="G42" s="10"/>
      <c r="H42" s="10"/>
      <c r="I42" s="10"/>
      <c r="J42" s="161"/>
      <c r="K42" s="10"/>
      <c r="L42" s="160"/>
      <c r="M42" s="153"/>
      <c r="N42" s="70" t="s">
        <v>6</v>
      </c>
      <c r="O42" t="s">
        <v>60</v>
      </c>
    </row>
    <row r="43" spans="1:15" x14ac:dyDescent="0.2">
      <c r="A43" s="50" t="s">
        <v>61</v>
      </c>
      <c r="B43" s="45"/>
      <c r="C43" s="10"/>
      <c r="D43" s="21">
        <v>0</v>
      </c>
      <c r="E43" s="51" t="s">
        <v>62</v>
      </c>
      <c r="F43" s="10"/>
      <c r="G43" s="33">
        <f>D43</f>
        <v>0</v>
      </c>
      <c r="H43" s="156">
        <f t="shared" si="3"/>
        <v>0</v>
      </c>
      <c r="I43" s="33">
        <f t="shared" ref="I43:I46" si="11">G43*(1+I$13)</f>
        <v>0</v>
      </c>
      <c r="J43" s="156">
        <f t="shared" ref="J43:J54" si="12">IFERROR(I43/$I$145,0)</f>
        <v>0</v>
      </c>
      <c r="K43" s="33">
        <f t="shared" ref="K43:K46" si="13">I43*(1+K$13)</f>
        <v>0</v>
      </c>
      <c r="L43" s="156">
        <f t="shared" ref="L43:L59" si="14">IFERROR(K43/$K$145,0)</f>
        <v>0</v>
      </c>
      <c r="M43" s="87">
        <f t="shared" si="8"/>
        <v>0</v>
      </c>
      <c r="N43" s="70" t="s">
        <v>6</v>
      </c>
      <c r="O43" s="49" t="s">
        <v>63</v>
      </c>
    </row>
    <row r="44" spans="1:15" x14ac:dyDescent="0.2">
      <c r="A44" s="3" t="s">
        <v>64</v>
      </c>
      <c r="B44" s="3"/>
      <c r="C44" s="59" t="s">
        <v>65</v>
      </c>
      <c r="D44" s="21">
        <v>389.55</v>
      </c>
      <c r="E44" s="12" t="s">
        <v>62</v>
      </c>
      <c r="F44" s="12"/>
      <c r="G44" s="33">
        <f>$D44*(G9+G10)</f>
        <v>0</v>
      </c>
      <c r="H44" s="156">
        <f t="shared" si="3"/>
        <v>0</v>
      </c>
      <c r="I44" s="33">
        <f>$D44*(1+I13)*(I9+I10)</f>
        <v>0</v>
      </c>
      <c r="J44" s="156">
        <f t="shared" si="12"/>
        <v>0</v>
      </c>
      <c r="K44" s="33">
        <f>$D44*(1+K13)^2*(K9+K10)</f>
        <v>0</v>
      </c>
      <c r="L44" s="156">
        <f t="shared" si="14"/>
        <v>0</v>
      </c>
      <c r="M44" s="87">
        <f t="shared" si="8"/>
        <v>0</v>
      </c>
    </row>
    <row r="45" spans="1:15" x14ac:dyDescent="0.2">
      <c r="A45" s="3" t="s">
        <v>66</v>
      </c>
      <c r="B45" s="3"/>
      <c r="C45" s="12" t="s">
        <v>67</v>
      </c>
      <c r="D45" s="21">
        <v>55</v>
      </c>
      <c r="E45" s="12" t="s">
        <v>62</v>
      </c>
      <c r="F45" s="12"/>
      <c r="G45" s="33">
        <f>$D45*(G10*25)</f>
        <v>0</v>
      </c>
      <c r="H45" s="156">
        <f t="shared" si="3"/>
        <v>0</v>
      </c>
      <c r="I45" s="33">
        <f>$D45*(1+I13)*(I10*25)</f>
        <v>0</v>
      </c>
      <c r="J45" s="156">
        <f t="shared" si="12"/>
        <v>0</v>
      </c>
      <c r="K45" s="33">
        <f>$D45*(1+K13)^2*(K10*25)</f>
        <v>0</v>
      </c>
      <c r="L45" s="156">
        <f t="shared" si="14"/>
        <v>0</v>
      </c>
      <c r="M45" s="87">
        <f t="shared" si="8"/>
        <v>0</v>
      </c>
      <c r="N45" s="70"/>
    </row>
    <row r="46" spans="1:15" x14ac:dyDescent="0.2">
      <c r="A46" s="58" t="s">
        <v>68</v>
      </c>
      <c r="B46" s="58"/>
      <c r="C46" s="12" t="s">
        <v>69</v>
      </c>
      <c r="D46" s="21">
        <v>250</v>
      </c>
      <c r="E46" s="12" t="s">
        <v>62</v>
      </c>
      <c r="F46" s="12"/>
      <c r="G46" s="33">
        <f>D46*12</f>
        <v>3000</v>
      </c>
      <c r="H46" s="156">
        <f t="shared" si="3"/>
        <v>7.7526391275696771E-2</v>
      </c>
      <c r="I46" s="33">
        <f t="shared" si="11"/>
        <v>3150</v>
      </c>
      <c r="J46" s="156">
        <f t="shared" si="12"/>
        <v>1</v>
      </c>
      <c r="K46" s="33">
        <f t="shared" si="13"/>
        <v>3307.5</v>
      </c>
      <c r="L46" s="156">
        <f t="shared" si="14"/>
        <v>1</v>
      </c>
      <c r="M46" s="87">
        <f t="shared" si="8"/>
        <v>9457.5</v>
      </c>
      <c r="N46" s="70"/>
    </row>
    <row r="47" spans="1:15" x14ac:dyDescent="0.2">
      <c r="A47" s="3" t="s">
        <v>70</v>
      </c>
      <c r="B47" s="3"/>
      <c r="C47" s="12" t="s">
        <v>67</v>
      </c>
      <c r="D47" s="21">
        <v>71.400000000000006</v>
      </c>
      <c r="E47" s="12" t="s">
        <v>62</v>
      </c>
      <c r="F47" s="12"/>
      <c r="G47" s="33">
        <f>$D47*(G10*25)</f>
        <v>0</v>
      </c>
      <c r="H47" s="156">
        <f t="shared" si="3"/>
        <v>0</v>
      </c>
      <c r="I47" s="33">
        <f>$D47*(1+I13)*(I10*25)</f>
        <v>0</v>
      </c>
      <c r="J47" s="156">
        <f t="shared" si="12"/>
        <v>0</v>
      </c>
      <c r="K47" s="33">
        <f>$D47*(1+K13)^2*(K10*25)</f>
        <v>0</v>
      </c>
      <c r="L47" s="156">
        <f t="shared" si="14"/>
        <v>0</v>
      </c>
      <c r="M47" s="87">
        <f t="shared" si="8"/>
        <v>0</v>
      </c>
      <c r="N47" s="70"/>
    </row>
    <row r="48" spans="1:15" x14ac:dyDescent="0.2">
      <c r="A48" s="3" t="s">
        <v>71</v>
      </c>
      <c r="B48" s="3"/>
      <c r="C48" s="12" t="s">
        <v>67</v>
      </c>
      <c r="D48" s="21">
        <v>6</v>
      </c>
      <c r="E48" s="12" t="s">
        <v>62</v>
      </c>
      <c r="F48" s="12"/>
      <c r="G48" s="33">
        <f>$D48*(G10*25)</f>
        <v>0</v>
      </c>
      <c r="H48" s="156">
        <f t="shared" si="3"/>
        <v>0</v>
      </c>
      <c r="I48" s="33">
        <f>$D48*(1+I13)*(I10*25)</f>
        <v>0</v>
      </c>
      <c r="J48" s="156">
        <f t="shared" si="12"/>
        <v>0</v>
      </c>
      <c r="K48" s="33">
        <f>$D48*(1+K13)^2*(K10*25)</f>
        <v>0</v>
      </c>
      <c r="L48" s="156">
        <f t="shared" si="14"/>
        <v>0</v>
      </c>
      <c r="M48" s="87">
        <f t="shared" si="8"/>
        <v>0</v>
      </c>
      <c r="N48" s="70"/>
    </row>
    <row r="49" spans="1:15" x14ac:dyDescent="0.2">
      <c r="A49" s="3" t="s">
        <v>72</v>
      </c>
      <c r="B49" s="3"/>
      <c r="C49" s="12" t="s">
        <v>69</v>
      </c>
      <c r="D49" s="21">
        <v>0</v>
      </c>
      <c r="E49" s="45" t="s">
        <v>69</v>
      </c>
      <c r="F49" s="12"/>
      <c r="G49" s="33">
        <f>$D49*12</f>
        <v>0</v>
      </c>
      <c r="H49" s="156">
        <f t="shared" si="3"/>
        <v>0</v>
      </c>
      <c r="I49" s="33">
        <f>G49*(1+I$13)</f>
        <v>0</v>
      </c>
      <c r="J49" s="156">
        <f t="shared" si="12"/>
        <v>0</v>
      </c>
      <c r="K49" s="33">
        <f>I49*(1+K$13)</f>
        <v>0</v>
      </c>
      <c r="L49" s="156">
        <f t="shared" si="14"/>
        <v>0</v>
      </c>
      <c r="M49" s="87">
        <f t="shared" si="8"/>
        <v>0</v>
      </c>
      <c r="N49" s="70" t="s">
        <v>6</v>
      </c>
      <c r="O49" s="49" t="s">
        <v>73</v>
      </c>
    </row>
    <row r="50" spans="1:15" x14ac:dyDescent="0.2">
      <c r="A50" s="3" t="s">
        <v>74</v>
      </c>
      <c r="B50" s="3"/>
      <c r="C50" s="45" t="s">
        <v>65</v>
      </c>
      <c r="D50" s="22">
        <v>540</v>
      </c>
      <c r="E50" s="12" t="s">
        <v>62</v>
      </c>
      <c r="F50" s="14"/>
      <c r="G50" s="33">
        <f>$D50*(G9+G10)</f>
        <v>0</v>
      </c>
      <c r="H50" s="156">
        <f t="shared" si="3"/>
        <v>0</v>
      </c>
      <c r="I50" s="33">
        <f>$D50*(1+I13)*(I9+I10)</f>
        <v>0</v>
      </c>
      <c r="J50" s="156">
        <f t="shared" si="12"/>
        <v>0</v>
      </c>
      <c r="K50" s="33">
        <f>$D50*(1+K13)*(K9+K10)</f>
        <v>0</v>
      </c>
      <c r="L50" s="156">
        <f t="shared" si="14"/>
        <v>0</v>
      </c>
      <c r="M50" s="87">
        <f t="shared" si="8"/>
        <v>0</v>
      </c>
      <c r="N50" s="70"/>
    </row>
    <row r="51" spans="1:15" x14ac:dyDescent="0.2">
      <c r="A51" s="3" t="s">
        <v>75</v>
      </c>
      <c r="B51" s="3"/>
      <c r="C51" s="45" t="s">
        <v>76</v>
      </c>
      <c r="D51" s="22">
        <v>432.6</v>
      </c>
      <c r="E51" s="45" t="s">
        <v>77</v>
      </c>
      <c r="F51" s="12"/>
      <c r="G51" s="33">
        <f>$D51*G10</f>
        <v>0</v>
      </c>
      <c r="H51" s="156">
        <f t="shared" si="3"/>
        <v>0</v>
      </c>
      <c r="I51" s="33">
        <f>(D51*(1+I13)*G10*0.5)+D51*(1+I13)*(I10-G10)</f>
        <v>0</v>
      </c>
      <c r="J51" s="156">
        <f t="shared" si="12"/>
        <v>0</v>
      </c>
      <c r="K51" s="33">
        <f>(D51*(1+K13)^2*I10*0.5)+D51*(1+K13)^2*(K10-I10)</f>
        <v>0</v>
      </c>
      <c r="L51" s="156">
        <f t="shared" si="14"/>
        <v>0</v>
      </c>
      <c r="M51" s="87">
        <f t="shared" si="8"/>
        <v>0</v>
      </c>
      <c r="N51" s="70"/>
    </row>
    <row r="52" spans="1:15" x14ac:dyDescent="0.2">
      <c r="A52" s="3" t="s">
        <v>78</v>
      </c>
      <c r="B52" s="3"/>
      <c r="C52" s="45" t="s">
        <v>65</v>
      </c>
      <c r="D52" s="22">
        <v>540.75</v>
      </c>
      <c r="E52" s="12" t="s">
        <v>62</v>
      </c>
      <c r="F52" s="12"/>
      <c r="G52" s="33">
        <f>$D52*(G9+G10)</f>
        <v>0</v>
      </c>
      <c r="H52" s="156">
        <f t="shared" si="3"/>
        <v>0</v>
      </c>
      <c r="I52" s="33">
        <f>D52*(1+I$13)*(I9+I10)</f>
        <v>0</v>
      </c>
      <c r="J52" s="156">
        <f t="shared" si="12"/>
        <v>0</v>
      </c>
      <c r="K52" s="33">
        <f>D52*(1+K$13)^2*(K9+K10)</f>
        <v>0</v>
      </c>
      <c r="L52" s="156">
        <f t="shared" si="14"/>
        <v>0</v>
      </c>
      <c r="M52" s="87">
        <f t="shared" si="8"/>
        <v>0</v>
      </c>
      <c r="N52" s="70" t="s">
        <v>6</v>
      </c>
      <c r="O52" t="s">
        <v>79</v>
      </c>
    </row>
    <row r="53" spans="1:15" x14ac:dyDescent="0.2">
      <c r="A53" s="3" t="s">
        <v>80</v>
      </c>
      <c r="B53" s="3"/>
      <c r="C53" s="3" t="s">
        <v>81</v>
      </c>
      <c r="D53" s="23">
        <v>10</v>
      </c>
      <c r="E53" s="15">
        <v>0.53500000000000003</v>
      </c>
      <c r="F53" s="12"/>
      <c r="G53" s="33">
        <f>$D53*E53*G10*25*20</f>
        <v>0</v>
      </c>
      <c r="H53" s="156">
        <f t="shared" si="3"/>
        <v>0</v>
      </c>
      <c r="I53" s="33">
        <f>$D53*E53*(1+I13)*I10*25*20</f>
        <v>0</v>
      </c>
      <c r="J53" s="156">
        <f t="shared" si="12"/>
        <v>0</v>
      </c>
      <c r="K53" s="33">
        <f>$D53*E53*(1+K13)^2*K10*25*20</f>
        <v>0</v>
      </c>
      <c r="L53" s="156">
        <f t="shared" si="14"/>
        <v>0</v>
      </c>
      <c r="M53" s="87">
        <f t="shared" si="8"/>
        <v>0</v>
      </c>
      <c r="N53" s="70" t="s">
        <v>6</v>
      </c>
      <c r="O53" t="s">
        <v>82</v>
      </c>
    </row>
    <row r="54" spans="1:15" x14ac:dyDescent="0.2">
      <c r="A54" s="208" t="s">
        <v>83</v>
      </c>
      <c r="B54" s="3"/>
      <c r="C54" s="3" t="s">
        <v>84</v>
      </c>
      <c r="D54" s="238">
        <f>8088+9696</f>
        <v>17784</v>
      </c>
      <c r="E54" s="239">
        <f>8328+9984</f>
        <v>18312</v>
      </c>
      <c r="F54" s="148">
        <f>8580+10284</f>
        <v>18864</v>
      </c>
      <c r="G54" s="33">
        <f>$D54*G9</f>
        <v>0</v>
      </c>
      <c r="H54" s="156">
        <f t="shared" si="3"/>
        <v>0</v>
      </c>
      <c r="I54" s="33">
        <f>E54*I9</f>
        <v>0</v>
      </c>
      <c r="J54" s="156">
        <f t="shared" si="12"/>
        <v>0</v>
      </c>
      <c r="K54" s="33">
        <f>F54*K9</f>
        <v>0</v>
      </c>
      <c r="L54" s="156">
        <f t="shared" si="14"/>
        <v>0</v>
      </c>
      <c r="M54" s="87">
        <f t="shared" si="8"/>
        <v>0</v>
      </c>
      <c r="N54" s="70"/>
    </row>
    <row r="55" spans="1:15" x14ac:dyDescent="0.2">
      <c r="A55" s="3"/>
      <c r="B55" s="3"/>
      <c r="C55" s="3"/>
      <c r="D55" s="147"/>
      <c r="E55" s="146"/>
      <c r="F55" s="12"/>
      <c r="G55" s="33"/>
      <c r="H55" s="156">
        <f t="shared" si="3"/>
        <v>0</v>
      </c>
      <c r="I55" s="33"/>
      <c r="J55" s="156"/>
      <c r="K55" s="33"/>
      <c r="L55" s="156">
        <f t="shared" si="14"/>
        <v>0</v>
      </c>
      <c r="M55" s="87">
        <f t="shared" si="8"/>
        <v>0</v>
      </c>
      <c r="N55" s="70"/>
    </row>
    <row r="56" spans="1:15" x14ac:dyDescent="0.2">
      <c r="A56" s="134" t="s">
        <v>55</v>
      </c>
      <c r="B56" s="134"/>
      <c r="C56" s="134"/>
      <c r="D56" s="134"/>
      <c r="E56" s="134"/>
      <c r="F56" s="134"/>
      <c r="G56" s="24">
        <f>SUM(G43:G54)</f>
        <v>3000</v>
      </c>
      <c r="H56" s="156">
        <f t="shared" si="3"/>
        <v>7.7526391275696771E-2</v>
      </c>
      <c r="I56" s="24">
        <f>SUM(I43:I54)</f>
        <v>3150</v>
      </c>
      <c r="J56" s="156">
        <f t="shared" ref="J56:J59" si="15">IFERROR(I56/$I$145,0)</f>
        <v>1</v>
      </c>
      <c r="K56" s="24">
        <f>SUM(K43:K54)</f>
        <v>3307.5</v>
      </c>
      <c r="L56" s="156">
        <f t="shared" si="14"/>
        <v>1</v>
      </c>
      <c r="M56" s="87">
        <f>G56+I56+K56</f>
        <v>9457.5</v>
      </c>
    </row>
    <row r="57" spans="1:15" x14ac:dyDescent="0.2">
      <c r="A57" s="80" t="s">
        <v>56</v>
      </c>
      <c r="B57" s="80"/>
      <c r="C57" s="186">
        <v>0</v>
      </c>
      <c r="D57" s="77"/>
      <c r="E57" s="77"/>
      <c r="F57" s="105"/>
      <c r="G57" s="61">
        <f>G56*$C$57</f>
        <v>0</v>
      </c>
      <c r="H57" s="156">
        <f t="shared" si="3"/>
        <v>0</v>
      </c>
      <c r="I57" s="61">
        <f>I56*$C$57</f>
        <v>0</v>
      </c>
      <c r="J57" s="156">
        <f t="shared" si="15"/>
        <v>0</v>
      </c>
      <c r="K57" s="61">
        <f>K56*$C$57</f>
        <v>0</v>
      </c>
      <c r="L57" s="156">
        <f t="shared" si="14"/>
        <v>0</v>
      </c>
      <c r="M57" s="87">
        <f t="shared" si="8"/>
        <v>0</v>
      </c>
      <c r="N57" s="72" t="s">
        <v>6</v>
      </c>
      <c r="O57" s="79" t="s">
        <v>57</v>
      </c>
    </row>
    <row r="58" spans="1:15" ht="13.5" thickBot="1" x14ac:dyDescent="0.25">
      <c r="A58" s="80" t="s">
        <v>85</v>
      </c>
      <c r="B58" s="80"/>
      <c r="C58" s="106"/>
      <c r="D58" s="77"/>
      <c r="E58" s="77"/>
      <c r="F58" s="105"/>
      <c r="G58" s="61">
        <f>SUM(G56:G57)</f>
        <v>3000</v>
      </c>
      <c r="H58" s="156">
        <f t="shared" si="3"/>
        <v>7.7526391275696771E-2</v>
      </c>
      <c r="I58" s="61">
        <f>SUM(I56:I57)</f>
        <v>3150</v>
      </c>
      <c r="J58" s="156">
        <f t="shared" si="15"/>
        <v>1</v>
      </c>
      <c r="K58" s="61">
        <f>SUM(K56:K57)</f>
        <v>3307.5</v>
      </c>
      <c r="L58" s="156">
        <f t="shared" si="14"/>
        <v>1</v>
      </c>
      <c r="M58" s="154">
        <f>G58+I58+K58</f>
        <v>9457.5</v>
      </c>
      <c r="N58" s="70"/>
    </row>
    <row r="59" spans="1:15" ht="13.5" thickBot="1" x14ac:dyDescent="0.25">
      <c r="A59" s="134" t="s">
        <v>86</v>
      </c>
      <c r="B59" s="134"/>
      <c r="C59" s="134"/>
      <c r="D59" s="134"/>
      <c r="E59" s="134"/>
      <c r="F59" s="134"/>
      <c r="G59" s="24">
        <f>SUM(G40,G58)</f>
        <v>3000</v>
      </c>
      <c r="H59" s="156">
        <f t="shared" si="3"/>
        <v>7.7526391275696771E-2</v>
      </c>
      <c r="I59" s="24">
        <f>SUM(I40,I58)</f>
        <v>3150</v>
      </c>
      <c r="J59" s="156">
        <f t="shared" si="15"/>
        <v>1</v>
      </c>
      <c r="K59" s="24">
        <f>SUM(K40,K58)</f>
        <v>3307.5</v>
      </c>
      <c r="L59" s="156">
        <f t="shared" si="14"/>
        <v>1</v>
      </c>
      <c r="M59" s="155">
        <f>G59+I59+K59</f>
        <v>9457.5</v>
      </c>
      <c r="N59" s="70"/>
    </row>
    <row r="60" spans="1:15" x14ac:dyDescent="0.2">
      <c r="A60" s="107"/>
      <c r="B60" s="55"/>
      <c r="C60" s="55"/>
      <c r="D60" s="55"/>
      <c r="E60" s="55"/>
      <c r="F60" s="55"/>
      <c r="G60" s="62"/>
      <c r="H60" s="156"/>
      <c r="I60" s="62"/>
      <c r="J60" s="161"/>
      <c r="K60" s="62"/>
      <c r="L60" s="168"/>
      <c r="M60" s="152"/>
      <c r="N60" s="70"/>
    </row>
    <row r="61" spans="1:15" s="19" customFormat="1" x14ac:dyDescent="0.2">
      <c r="A61" s="9" t="s">
        <v>87</v>
      </c>
      <c r="B61" s="10"/>
      <c r="C61" s="10"/>
      <c r="D61" s="29">
        <v>2018</v>
      </c>
      <c r="E61" s="29">
        <v>2019</v>
      </c>
      <c r="F61" s="29">
        <v>2020</v>
      </c>
      <c r="G61" s="29">
        <v>2018</v>
      </c>
      <c r="H61" s="156"/>
      <c r="I61" s="29">
        <v>2019</v>
      </c>
      <c r="J61" s="156"/>
      <c r="K61" s="29">
        <v>2020</v>
      </c>
      <c r="L61" s="172"/>
      <c r="M61" s="87"/>
      <c r="N61" s="69"/>
      <c r="O61" s="102"/>
    </row>
    <row r="62" spans="1:15" x14ac:dyDescent="0.2">
      <c r="A62" s="50" t="s">
        <v>88</v>
      </c>
      <c r="B62" s="50"/>
      <c r="C62" s="45"/>
      <c r="D62" s="53">
        <v>29134</v>
      </c>
      <c r="E62" s="26"/>
      <c r="F62" s="26"/>
      <c r="G62" s="33">
        <f>D62</f>
        <v>29134</v>
      </c>
      <c r="H62" s="156">
        <f t="shared" si="3"/>
        <v>0.75288462780871657</v>
      </c>
      <c r="I62" s="30"/>
      <c r="J62" s="156">
        <f t="shared" ref="J62:J77" si="16">IFERROR(I62/$I$145,0)</f>
        <v>0</v>
      </c>
      <c r="K62" s="30"/>
      <c r="L62" s="156">
        <f t="shared" ref="L62:L81" si="17">IFERROR(K62/$K$145,0)</f>
        <v>0</v>
      </c>
      <c r="M62" s="87">
        <f t="shared" si="8"/>
        <v>29134</v>
      </c>
      <c r="N62" s="70"/>
      <c r="O62" s="49"/>
    </row>
    <row r="63" spans="1:15" x14ac:dyDescent="0.2">
      <c r="A63" s="108" t="s">
        <v>89</v>
      </c>
      <c r="B63" s="108"/>
      <c r="C63" s="45" t="s">
        <v>90</v>
      </c>
      <c r="D63" s="27">
        <v>4668</v>
      </c>
      <c r="E63" s="46">
        <f t="shared" ref="E63:F65" si="18">D63*1.03</f>
        <v>4808.04</v>
      </c>
      <c r="F63" s="47">
        <f t="shared" si="18"/>
        <v>4952.2812000000004</v>
      </c>
      <c r="G63" s="33">
        <f>$D63*G10</f>
        <v>0</v>
      </c>
      <c r="H63" s="156">
        <f t="shared" si="3"/>
        <v>0</v>
      </c>
      <c r="I63" s="33">
        <f>E63*(I10-G10)</f>
        <v>0</v>
      </c>
      <c r="J63" s="156">
        <f t="shared" si="16"/>
        <v>0</v>
      </c>
      <c r="K63" s="33">
        <f>F63*(K10-I10)</f>
        <v>0</v>
      </c>
      <c r="L63" s="156">
        <f t="shared" si="17"/>
        <v>0</v>
      </c>
      <c r="M63" s="87">
        <f t="shared" si="8"/>
        <v>0</v>
      </c>
      <c r="N63" s="70"/>
      <c r="O63" s="49"/>
    </row>
    <row r="64" spans="1:15" x14ac:dyDescent="0.2">
      <c r="A64" s="108" t="s">
        <v>91</v>
      </c>
      <c r="B64" s="108"/>
      <c r="C64" s="45" t="s">
        <v>92</v>
      </c>
      <c r="D64" s="27">
        <v>5511</v>
      </c>
      <c r="E64" s="46">
        <f t="shared" si="18"/>
        <v>5676.33</v>
      </c>
      <c r="F64" s="46">
        <f t="shared" si="18"/>
        <v>5846.6198999999997</v>
      </c>
      <c r="G64" s="33">
        <f>$D64*G9</f>
        <v>0</v>
      </c>
      <c r="H64" s="156">
        <f t="shared" si="3"/>
        <v>0</v>
      </c>
      <c r="I64" s="33">
        <f>E64*(I9-G9)</f>
        <v>0</v>
      </c>
      <c r="J64" s="156">
        <f t="shared" si="16"/>
        <v>0</v>
      </c>
      <c r="K64" s="33">
        <f>F64*(K9-I9)</f>
        <v>0</v>
      </c>
      <c r="L64" s="156">
        <f t="shared" si="17"/>
        <v>0</v>
      </c>
      <c r="M64" s="87">
        <f t="shared" si="8"/>
        <v>0</v>
      </c>
      <c r="N64" s="70"/>
    </row>
    <row r="65" spans="1:15" x14ac:dyDescent="0.2">
      <c r="A65" s="108" t="s">
        <v>93</v>
      </c>
      <c r="B65" s="108"/>
      <c r="C65" s="45" t="s">
        <v>94</v>
      </c>
      <c r="D65" s="27">
        <v>551</v>
      </c>
      <c r="E65" s="46">
        <f t="shared" si="18"/>
        <v>567.53</v>
      </c>
      <c r="F65" s="47">
        <f t="shared" si="18"/>
        <v>584.55589999999995</v>
      </c>
      <c r="G65" s="33">
        <f>D65*G8</f>
        <v>0</v>
      </c>
      <c r="H65" s="156">
        <f t="shared" si="3"/>
        <v>0</v>
      </c>
      <c r="I65" s="201">
        <f>E65*(I8-G8)</f>
        <v>0</v>
      </c>
      <c r="J65" s="156">
        <f t="shared" si="16"/>
        <v>0</v>
      </c>
      <c r="K65" s="201">
        <f>F65*(K8-I8)</f>
        <v>0</v>
      </c>
      <c r="L65" s="156">
        <f t="shared" si="17"/>
        <v>0</v>
      </c>
      <c r="M65" s="87">
        <f t="shared" si="8"/>
        <v>0</v>
      </c>
      <c r="N65" s="70" t="s">
        <v>6</v>
      </c>
      <c r="O65" s="49" t="s">
        <v>95</v>
      </c>
    </row>
    <row r="66" spans="1:15" x14ac:dyDescent="0.2">
      <c r="A66" s="108" t="s">
        <v>96</v>
      </c>
      <c r="B66" s="108"/>
      <c r="C66" s="109" t="s">
        <v>97</v>
      </c>
      <c r="D66" s="27">
        <v>593</v>
      </c>
      <c r="E66" s="46">
        <f>D66*1.03</f>
        <v>610.79</v>
      </c>
      <c r="F66" s="47">
        <f>E66*1.03</f>
        <v>629.11369999999999</v>
      </c>
      <c r="G66" s="33">
        <f>$D66*(G9+G10)</f>
        <v>0</v>
      </c>
      <c r="H66" s="156">
        <f t="shared" si="3"/>
        <v>0</v>
      </c>
      <c r="I66" s="33">
        <f>$E66*((I9+I10)-(G9+G10))</f>
        <v>0</v>
      </c>
      <c r="J66" s="156">
        <f t="shared" si="16"/>
        <v>0</v>
      </c>
      <c r="K66" s="33">
        <f>$F66*((K9+K10)-(I9+I10))</f>
        <v>0</v>
      </c>
      <c r="L66" s="156">
        <f t="shared" si="17"/>
        <v>0</v>
      </c>
      <c r="M66" s="87">
        <f t="shared" si="8"/>
        <v>0</v>
      </c>
      <c r="N66" s="70"/>
      <c r="O66" s="49"/>
    </row>
    <row r="67" spans="1:15" x14ac:dyDescent="0.2">
      <c r="A67" s="3" t="s">
        <v>98</v>
      </c>
      <c r="B67" s="3"/>
      <c r="C67" s="45" t="s">
        <v>99</v>
      </c>
      <c r="D67" s="21">
        <v>2000</v>
      </c>
      <c r="E67" s="45" t="s">
        <v>100</v>
      </c>
      <c r="F67" s="12"/>
      <c r="G67" s="33">
        <f>$D$67*($G$9+$G$10+$G$11)</f>
        <v>0</v>
      </c>
      <c r="H67" s="156">
        <f t="shared" si="3"/>
        <v>0</v>
      </c>
      <c r="I67" s="33">
        <f>$D$67*(1+$I$13)*(($I$9+$I$10+$I$11)-($G$9+$G$10+$G$11))</f>
        <v>0</v>
      </c>
      <c r="J67" s="156">
        <f t="shared" si="16"/>
        <v>0</v>
      </c>
      <c r="K67" s="33">
        <f>$D$67*(1+$K$13)^2*(($K$9+$K$10+$K$11)-($I$9+$I$10+$I$11))</f>
        <v>0</v>
      </c>
      <c r="L67" s="156">
        <f t="shared" si="17"/>
        <v>0</v>
      </c>
      <c r="M67" s="87">
        <f t="shared" ref="M67:M68" si="19">G67+I67+K67</f>
        <v>0</v>
      </c>
      <c r="N67" s="70"/>
    </row>
    <row r="68" spans="1:15" x14ac:dyDescent="0.2">
      <c r="A68" s="3" t="s">
        <v>101</v>
      </c>
      <c r="B68" s="3"/>
      <c r="C68" s="45" t="s">
        <v>65</v>
      </c>
      <c r="D68" s="21">
        <v>600</v>
      </c>
      <c r="E68" s="45" t="s">
        <v>100</v>
      </c>
      <c r="F68" s="13"/>
      <c r="G68" s="33">
        <f>$D$68*($G$9+$G$10)</f>
        <v>0</v>
      </c>
      <c r="H68" s="156">
        <f t="shared" si="3"/>
        <v>0</v>
      </c>
      <c r="I68" s="33">
        <f>$D$68*(1+$I$13)*(($I$9+$I$10)-($G$9+$G$10))</f>
        <v>0</v>
      </c>
      <c r="J68" s="156">
        <f t="shared" si="16"/>
        <v>0</v>
      </c>
      <c r="K68" s="33">
        <f>$D$68*(1+$K$13)^2*(($K$9+$K$10)-($I$9+$I$10))</f>
        <v>0</v>
      </c>
      <c r="L68" s="156">
        <f t="shared" si="17"/>
        <v>0</v>
      </c>
      <c r="M68" s="87">
        <f t="shared" si="19"/>
        <v>0</v>
      </c>
      <c r="N68" s="70"/>
      <c r="O68" s="31"/>
    </row>
    <row r="69" spans="1:15" x14ac:dyDescent="0.2">
      <c r="A69" s="3" t="s">
        <v>102</v>
      </c>
      <c r="B69" s="75"/>
      <c r="C69" s="194" t="s">
        <v>94</v>
      </c>
      <c r="D69" s="16">
        <v>1430</v>
      </c>
      <c r="E69" s="198">
        <f>D69*(1+I13)</f>
        <v>1501.5</v>
      </c>
      <c r="F69" s="198">
        <f>E69*(1+K13)</f>
        <v>1576.575</v>
      </c>
      <c r="G69" s="65">
        <f>D69*G8</f>
        <v>0</v>
      </c>
      <c r="H69" s="156">
        <f t="shared" si="3"/>
        <v>0</v>
      </c>
      <c r="I69" s="65">
        <f>E69*(I8-G8)</f>
        <v>0</v>
      </c>
      <c r="J69" s="156">
        <f t="shared" si="16"/>
        <v>0</v>
      </c>
      <c r="K69" s="65">
        <f>F69*(K8-I8)</f>
        <v>0</v>
      </c>
      <c r="L69" s="156">
        <f t="shared" si="17"/>
        <v>0</v>
      </c>
      <c r="M69" s="87">
        <f t="shared" si="8"/>
        <v>0</v>
      </c>
      <c r="N69" s="70" t="s">
        <v>6</v>
      </c>
      <c r="O69" t="s">
        <v>103</v>
      </c>
    </row>
    <row r="70" spans="1:15" x14ac:dyDescent="0.2">
      <c r="A70" s="3" t="s">
        <v>104</v>
      </c>
      <c r="B70" s="75"/>
      <c r="C70" s="58" t="s">
        <v>97</v>
      </c>
      <c r="D70" s="16">
        <v>1830</v>
      </c>
      <c r="E70" s="198">
        <f>D70*(1+I13)</f>
        <v>1921.5</v>
      </c>
      <c r="F70" s="198">
        <f>E70*(1+K13)</f>
        <v>2017.575</v>
      </c>
      <c r="G70" s="33">
        <f>$D70*(G9+G10)</f>
        <v>0</v>
      </c>
      <c r="H70" s="156">
        <f t="shared" si="3"/>
        <v>0</v>
      </c>
      <c r="I70" s="33">
        <f>E70*((I9+I10)-(G9+G10))</f>
        <v>0</v>
      </c>
      <c r="J70" s="156">
        <f t="shared" si="16"/>
        <v>0</v>
      </c>
      <c r="K70" s="33">
        <f>F70*((K9+K10)-(I9+I10))</f>
        <v>0</v>
      </c>
      <c r="L70" s="156">
        <f t="shared" si="17"/>
        <v>0</v>
      </c>
      <c r="M70" s="87">
        <f t="shared" si="8"/>
        <v>0</v>
      </c>
      <c r="N70" s="70" t="s">
        <v>6</v>
      </c>
      <c r="O70" t="s">
        <v>103</v>
      </c>
    </row>
    <row r="71" spans="1:15" x14ac:dyDescent="0.2">
      <c r="A71" s="3" t="s">
        <v>105</v>
      </c>
      <c r="B71" s="75"/>
      <c r="C71" s="58" t="s">
        <v>92</v>
      </c>
      <c r="D71" s="16">
        <v>1730</v>
      </c>
      <c r="E71" s="198">
        <f>D71*(1+I13)</f>
        <v>1816.5</v>
      </c>
      <c r="F71" s="198">
        <f>E71*(1+K13)</f>
        <v>1907.325</v>
      </c>
      <c r="G71" s="33">
        <f>D71*$G$9</f>
        <v>0</v>
      </c>
      <c r="H71" s="156">
        <f t="shared" si="3"/>
        <v>0</v>
      </c>
      <c r="I71" s="33">
        <f>E71*($I$9-G9)</f>
        <v>0</v>
      </c>
      <c r="J71" s="156">
        <f t="shared" si="16"/>
        <v>0</v>
      </c>
      <c r="K71" s="33">
        <f>F71*(K9-I9)</f>
        <v>0</v>
      </c>
      <c r="L71" s="156">
        <f t="shared" si="17"/>
        <v>0</v>
      </c>
      <c r="M71" s="87">
        <f t="shared" si="8"/>
        <v>0</v>
      </c>
      <c r="N71" s="72" t="s">
        <v>6</v>
      </c>
      <c r="O71" t="s">
        <v>103</v>
      </c>
    </row>
    <row r="72" spans="1:15" x14ac:dyDescent="0.2">
      <c r="A72" s="3" t="s">
        <v>106</v>
      </c>
      <c r="B72" s="76"/>
      <c r="C72" s="58" t="s">
        <v>97</v>
      </c>
      <c r="D72" s="196"/>
      <c r="E72" s="130">
        <v>1000</v>
      </c>
      <c r="F72" s="16">
        <f>E72*(1+K13)</f>
        <v>1050</v>
      </c>
      <c r="G72" s="33">
        <f>$D72*(G9+G10)</f>
        <v>0</v>
      </c>
      <c r="H72" s="156">
        <f t="shared" si="3"/>
        <v>0</v>
      </c>
      <c r="I72" s="33">
        <f>E72*(G9+G10)</f>
        <v>0</v>
      </c>
      <c r="J72" s="156">
        <f t="shared" si="16"/>
        <v>0</v>
      </c>
      <c r="K72" s="33">
        <f>F72*(I9+I10)-(G9+G10)</f>
        <v>0</v>
      </c>
      <c r="L72" s="156">
        <f t="shared" si="17"/>
        <v>0</v>
      </c>
      <c r="M72" s="87">
        <f t="shared" si="8"/>
        <v>0</v>
      </c>
      <c r="N72" s="72" t="s">
        <v>6</v>
      </c>
      <c r="O72" t="s">
        <v>103</v>
      </c>
    </row>
    <row r="73" spans="1:15" x14ac:dyDescent="0.2">
      <c r="A73" s="108" t="s">
        <v>107</v>
      </c>
      <c r="B73" s="108"/>
      <c r="C73" s="109" t="s">
        <v>97</v>
      </c>
      <c r="D73" s="30"/>
      <c r="E73" s="46">
        <v>780</v>
      </c>
      <c r="F73" s="47">
        <v>60</v>
      </c>
      <c r="G73" s="197"/>
      <c r="H73" s="156">
        <f t="shared" si="3"/>
        <v>0</v>
      </c>
      <c r="I73" s="33">
        <f>E73*(G9+G10)</f>
        <v>0</v>
      </c>
      <c r="J73" s="156">
        <f t="shared" si="16"/>
        <v>0</v>
      </c>
      <c r="K73" s="33">
        <f>(E73*(I9+I10))+(F73*(G9+G10))</f>
        <v>0</v>
      </c>
      <c r="L73" s="156">
        <f t="shared" si="17"/>
        <v>0</v>
      </c>
      <c r="M73" s="87">
        <f t="shared" si="8"/>
        <v>0</v>
      </c>
      <c r="N73" s="70"/>
      <c r="O73" s="31"/>
    </row>
    <row r="74" spans="1:15" x14ac:dyDescent="0.2">
      <c r="A74" s="3" t="s">
        <v>108</v>
      </c>
      <c r="B74" s="3"/>
      <c r="C74" s="3" t="s">
        <v>109</v>
      </c>
      <c r="D74" s="48">
        <v>1195</v>
      </c>
      <c r="E74" s="48">
        <v>0</v>
      </c>
      <c r="F74" s="64">
        <v>0</v>
      </c>
      <c r="G74" s="33">
        <f t="shared" ref="G74:G76" si="20">D74</f>
        <v>1195</v>
      </c>
      <c r="H74" s="156">
        <f t="shared" si="3"/>
        <v>3.0881345858152547E-2</v>
      </c>
      <c r="I74" s="33">
        <f>E74</f>
        <v>0</v>
      </c>
      <c r="J74" s="156">
        <f t="shared" si="16"/>
        <v>0</v>
      </c>
      <c r="K74" s="33">
        <f>F74</f>
        <v>0</v>
      </c>
      <c r="L74" s="156">
        <f t="shared" si="17"/>
        <v>0</v>
      </c>
      <c r="M74" s="87">
        <f t="shared" si="8"/>
        <v>1195</v>
      </c>
      <c r="N74" s="70"/>
      <c r="O74" s="31"/>
    </row>
    <row r="75" spans="1:15" x14ac:dyDescent="0.2">
      <c r="A75" s="3" t="s">
        <v>110</v>
      </c>
      <c r="B75" s="3"/>
      <c r="C75" s="3" t="s">
        <v>109</v>
      </c>
      <c r="D75" s="48">
        <v>4317.5</v>
      </c>
      <c r="E75" s="48">
        <v>0</v>
      </c>
      <c r="F75" s="64">
        <v>0</v>
      </c>
      <c r="G75" s="33">
        <f t="shared" si="20"/>
        <v>4317.5</v>
      </c>
      <c r="H75" s="156">
        <f t="shared" si="3"/>
        <v>0.11157339811094026</v>
      </c>
      <c r="I75" s="33">
        <f>E75</f>
        <v>0</v>
      </c>
      <c r="J75" s="156">
        <f t="shared" si="16"/>
        <v>0</v>
      </c>
      <c r="K75" s="33">
        <f>F75</f>
        <v>0</v>
      </c>
      <c r="L75" s="156">
        <f t="shared" si="17"/>
        <v>0</v>
      </c>
      <c r="M75" s="87">
        <f t="shared" si="8"/>
        <v>4317.5</v>
      </c>
      <c r="N75" s="70"/>
      <c r="O75" s="31"/>
    </row>
    <row r="76" spans="1:15" x14ac:dyDescent="0.2">
      <c r="A76" s="25" t="s">
        <v>111</v>
      </c>
      <c r="B76" s="25"/>
      <c r="C76" s="3" t="s">
        <v>109</v>
      </c>
      <c r="D76" s="48">
        <v>1050</v>
      </c>
      <c r="E76" s="48">
        <v>0</v>
      </c>
      <c r="F76" s="64">
        <v>0</v>
      </c>
      <c r="G76" s="33">
        <f t="shared" si="20"/>
        <v>1050</v>
      </c>
      <c r="H76" s="156">
        <f t="shared" si="3"/>
        <v>2.7134236946493868E-2</v>
      </c>
      <c r="I76" s="33">
        <f>E76</f>
        <v>0</v>
      </c>
      <c r="J76" s="156">
        <f t="shared" si="16"/>
        <v>0</v>
      </c>
      <c r="K76" s="33">
        <f>F76</f>
        <v>0</v>
      </c>
      <c r="L76" s="156">
        <f t="shared" si="17"/>
        <v>0</v>
      </c>
      <c r="M76" s="87">
        <f t="shared" si="8"/>
        <v>1050</v>
      </c>
      <c r="N76" s="70"/>
      <c r="O76" s="31"/>
    </row>
    <row r="77" spans="1:15" x14ac:dyDescent="0.2">
      <c r="A77" s="50" t="s">
        <v>112</v>
      </c>
      <c r="B77" s="50"/>
      <c r="C77" s="45" t="s">
        <v>113</v>
      </c>
      <c r="D77" s="125">
        <v>3174</v>
      </c>
      <c r="E77" s="125">
        <v>3264</v>
      </c>
      <c r="F77" s="125">
        <v>3360</v>
      </c>
      <c r="G77" s="126">
        <f>IF(G9&gt;1,D77,0)</f>
        <v>0</v>
      </c>
      <c r="H77" s="156">
        <f t="shared" si="3"/>
        <v>0</v>
      </c>
      <c r="I77" s="680">
        <f>IF(AND(I9&gt;1,G9&lt;&gt;2),E77*(I9-G9),0)</f>
        <v>0</v>
      </c>
      <c r="J77" s="156">
        <f t="shared" si="16"/>
        <v>0</v>
      </c>
      <c r="K77" s="680">
        <f>IF(AND(K9&gt;1,I9&lt;&gt;2),F77*(K9-I9),0)</f>
        <v>0</v>
      </c>
      <c r="L77" s="156">
        <f t="shared" si="17"/>
        <v>0</v>
      </c>
      <c r="M77" s="87">
        <f t="shared" ref="M77:M91" si="21">G77+I77+K77</f>
        <v>0</v>
      </c>
    </row>
    <row r="78" spans="1:15" x14ac:dyDescent="0.2">
      <c r="A78" s="88"/>
      <c r="B78" s="88"/>
      <c r="C78" s="44"/>
      <c r="D78" s="81"/>
      <c r="E78" s="81"/>
      <c r="F78" s="82"/>
      <c r="G78" s="34"/>
      <c r="H78" s="156"/>
      <c r="I78" s="34"/>
      <c r="J78" s="156"/>
      <c r="K78" s="34"/>
      <c r="L78" s="156"/>
      <c r="M78" s="87"/>
      <c r="N78" s="70"/>
      <c r="O78" s="31"/>
    </row>
    <row r="79" spans="1:15" x14ac:dyDescent="0.2">
      <c r="A79" s="90" t="s">
        <v>55</v>
      </c>
      <c r="B79" s="90"/>
      <c r="C79" s="44"/>
      <c r="D79" s="81"/>
      <c r="E79" s="81"/>
      <c r="F79" s="82"/>
      <c r="G79" s="85">
        <f>SUM(G62:G77)</f>
        <v>35696.5</v>
      </c>
      <c r="H79" s="156">
        <f t="shared" si="3"/>
        <v>0.92247360872430328</v>
      </c>
      <c r="I79" s="85">
        <f>SUM(I62:I77)</f>
        <v>0</v>
      </c>
      <c r="J79" s="156">
        <f t="shared" ref="J79:J81" si="22">IFERROR(I79/$I$145,0)</f>
        <v>0</v>
      </c>
      <c r="K79" s="85">
        <f>SUM(K62:K77)</f>
        <v>0</v>
      </c>
      <c r="L79" s="156">
        <f t="shared" si="17"/>
        <v>0</v>
      </c>
      <c r="M79" s="87">
        <f>G79+I79+K79</f>
        <v>35696.5</v>
      </c>
      <c r="N79" s="70"/>
      <c r="O79" s="31"/>
    </row>
    <row r="80" spans="1:15" ht="13.5" thickBot="1" x14ac:dyDescent="0.25">
      <c r="A80" s="80" t="s">
        <v>56</v>
      </c>
      <c r="B80" s="80"/>
      <c r="C80" s="186">
        <v>0</v>
      </c>
      <c r="D80" s="77"/>
      <c r="E80" s="77"/>
      <c r="F80" s="105"/>
      <c r="G80" s="61">
        <f>G79*$C$80</f>
        <v>0</v>
      </c>
      <c r="H80" s="156">
        <f t="shared" si="3"/>
        <v>0</v>
      </c>
      <c r="I80" s="61">
        <f>I79*$C$80</f>
        <v>0</v>
      </c>
      <c r="J80" s="156">
        <f t="shared" si="22"/>
        <v>0</v>
      </c>
      <c r="K80" s="200">
        <f>K79*$C$80</f>
        <v>0</v>
      </c>
      <c r="L80" s="156">
        <f t="shared" si="17"/>
        <v>0</v>
      </c>
      <c r="M80" s="154">
        <f t="shared" si="21"/>
        <v>0</v>
      </c>
      <c r="N80" s="72" t="s">
        <v>6</v>
      </c>
      <c r="O80" s="79" t="s">
        <v>57</v>
      </c>
    </row>
    <row r="81" spans="1:15" ht="13.5" thickBot="1" x14ac:dyDescent="0.25">
      <c r="A81" s="80" t="s">
        <v>114</v>
      </c>
      <c r="B81" s="80"/>
      <c r="C81" s="106"/>
      <c r="D81" s="77"/>
      <c r="E81" s="77"/>
      <c r="F81" s="105"/>
      <c r="G81" s="61">
        <f>SUM(G79:G80)</f>
        <v>35696.5</v>
      </c>
      <c r="H81" s="156">
        <f t="shared" ref="H81" si="23">IFERROR(G81/$G$145,0)</f>
        <v>0.92247360872430328</v>
      </c>
      <c r="I81" s="61">
        <f>SUM(I79:I80)</f>
        <v>0</v>
      </c>
      <c r="J81" s="156">
        <f t="shared" si="22"/>
        <v>0</v>
      </c>
      <c r="K81" s="61">
        <f>SUM(K79:K80)</f>
        <v>0</v>
      </c>
      <c r="L81" s="156">
        <f t="shared" si="17"/>
        <v>0</v>
      </c>
      <c r="M81" s="155">
        <f>G81+I81+K81</f>
        <v>35696.5</v>
      </c>
      <c r="N81" s="70"/>
    </row>
    <row r="82" spans="1:15" x14ac:dyDescent="0.2">
      <c r="A82" s="9"/>
      <c r="B82" s="10"/>
      <c r="C82" s="10"/>
      <c r="D82" s="10"/>
      <c r="E82" s="10"/>
      <c r="F82" s="10"/>
      <c r="G82" s="74"/>
      <c r="H82" s="156"/>
      <c r="I82" s="74"/>
      <c r="J82" s="161"/>
      <c r="K82" s="74"/>
      <c r="L82" s="173"/>
      <c r="M82" s="152"/>
      <c r="N82" s="70"/>
    </row>
    <row r="83" spans="1:15" ht="13.5" thickBot="1" x14ac:dyDescent="0.25">
      <c r="A83" s="17"/>
      <c r="B83" s="18"/>
      <c r="C83" s="18"/>
      <c r="D83" s="18"/>
      <c r="E83" s="18"/>
      <c r="F83" s="18"/>
      <c r="G83" s="18"/>
      <c r="H83" s="156"/>
      <c r="I83" s="18"/>
      <c r="J83" s="161"/>
      <c r="K83" s="18"/>
      <c r="L83" s="174"/>
      <c r="M83" s="242"/>
      <c r="N83" s="70"/>
    </row>
    <row r="84" spans="1:15" s="113" customFormat="1" ht="13.5" thickBot="1" x14ac:dyDescent="0.25">
      <c r="A84" s="9" t="s">
        <v>115</v>
      </c>
      <c r="B84" s="10"/>
      <c r="C84" s="10"/>
      <c r="D84" s="10"/>
      <c r="E84" s="10"/>
      <c r="F84" s="11"/>
      <c r="G84" s="24">
        <f>SUM(G59,G81)</f>
        <v>38696.5</v>
      </c>
      <c r="H84" s="156">
        <f t="shared" ref="H84" si="24">IFERROR(G84/$G$145,0)</f>
        <v>1</v>
      </c>
      <c r="I84" s="24">
        <f>SUM(I59,I81)</f>
        <v>3150</v>
      </c>
      <c r="J84" s="156">
        <f t="shared" ref="J84" si="25">IFERROR(I84/$I$145,0)</f>
        <v>1</v>
      </c>
      <c r="K84" s="24">
        <f>SUM(K59,K81)</f>
        <v>3307.5</v>
      </c>
      <c r="L84" s="240">
        <f t="shared" ref="L84" si="26">IFERROR(K84/$K$145,0)</f>
        <v>1</v>
      </c>
      <c r="M84" s="151">
        <f t="shared" si="21"/>
        <v>45154</v>
      </c>
      <c r="N84" s="72" t="s">
        <v>6</v>
      </c>
      <c r="O84" s="114" t="s">
        <v>116</v>
      </c>
    </row>
    <row r="85" spans="1:15" s="113" customFormat="1" x14ac:dyDescent="0.2">
      <c r="A85" s="93" t="s">
        <v>117</v>
      </c>
      <c r="B85" s="93"/>
      <c r="C85" s="93"/>
      <c r="D85" s="93"/>
      <c r="E85" s="93"/>
      <c r="F85" s="93"/>
      <c r="G85" s="94"/>
      <c r="H85" s="156"/>
      <c r="I85" s="94"/>
      <c r="J85" s="156"/>
      <c r="K85" s="94"/>
      <c r="L85" s="156"/>
      <c r="M85" s="243"/>
      <c r="N85" s="112"/>
    </row>
    <row r="86" spans="1:15" s="113" customFormat="1" x14ac:dyDescent="0.2">
      <c r="A86" s="132" t="s">
        <v>118</v>
      </c>
      <c r="B86" s="132"/>
      <c r="C86" s="134"/>
      <c r="D86" s="131">
        <v>0</v>
      </c>
      <c r="E86" s="131">
        <v>0</v>
      </c>
      <c r="F86" s="131">
        <v>0</v>
      </c>
      <c r="G86" s="128">
        <f t="shared" ref="G86:G90" si="27">D86</f>
        <v>0</v>
      </c>
      <c r="H86" s="156">
        <f t="shared" ref="H86:H92" si="28">IFERROR(G86/$G$145,0)</f>
        <v>0</v>
      </c>
      <c r="I86" s="33">
        <f>E86</f>
        <v>0</v>
      </c>
      <c r="J86" s="156">
        <f t="shared" ref="J86:J92" si="29">IFERROR(I86/$I$145,0)</f>
        <v>0</v>
      </c>
      <c r="K86" s="33">
        <f>F86</f>
        <v>0</v>
      </c>
      <c r="L86" s="156">
        <f t="shared" ref="L86:L92" si="30">IFERROR(K86/$K$145,0)</f>
        <v>0</v>
      </c>
      <c r="M86" s="87">
        <f t="shared" si="21"/>
        <v>0</v>
      </c>
      <c r="N86" s="115" t="s">
        <v>6</v>
      </c>
      <c r="O86" s="49" t="s">
        <v>119</v>
      </c>
    </row>
    <row r="87" spans="1:15" s="113" customFormat="1" x14ac:dyDescent="0.2">
      <c r="A87" s="132" t="s">
        <v>120</v>
      </c>
      <c r="B87" s="132"/>
      <c r="C87" s="134"/>
      <c r="D87" s="131">
        <v>0</v>
      </c>
      <c r="E87" s="131">
        <v>0</v>
      </c>
      <c r="F87" s="131">
        <v>0</v>
      </c>
      <c r="G87" s="128">
        <f t="shared" si="27"/>
        <v>0</v>
      </c>
      <c r="H87" s="156">
        <f t="shared" si="28"/>
        <v>0</v>
      </c>
      <c r="I87" s="33">
        <f>E87</f>
        <v>0</v>
      </c>
      <c r="J87" s="156">
        <f t="shared" si="29"/>
        <v>0</v>
      </c>
      <c r="K87" s="33">
        <f>F87</f>
        <v>0</v>
      </c>
      <c r="L87" s="156">
        <f t="shared" si="30"/>
        <v>0</v>
      </c>
      <c r="M87" s="87">
        <f t="shared" si="21"/>
        <v>0</v>
      </c>
      <c r="N87" s="112"/>
    </row>
    <row r="88" spans="1:15" s="113" customFormat="1" x14ac:dyDescent="0.2">
      <c r="A88" s="132" t="s">
        <v>66</v>
      </c>
      <c r="B88" s="132"/>
      <c r="C88" s="134"/>
      <c r="D88" s="131">
        <v>0</v>
      </c>
      <c r="E88" s="131">
        <v>0</v>
      </c>
      <c r="F88" s="131">
        <v>0</v>
      </c>
      <c r="G88" s="128">
        <f t="shared" si="27"/>
        <v>0</v>
      </c>
      <c r="H88" s="156">
        <f t="shared" si="28"/>
        <v>0</v>
      </c>
      <c r="I88" s="33">
        <f>E88</f>
        <v>0</v>
      </c>
      <c r="J88" s="156">
        <f t="shared" si="29"/>
        <v>0</v>
      </c>
      <c r="K88" s="33">
        <f>F88</f>
        <v>0</v>
      </c>
      <c r="L88" s="156">
        <f t="shared" si="30"/>
        <v>0</v>
      </c>
      <c r="M88" s="87">
        <f t="shared" si="21"/>
        <v>0</v>
      </c>
      <c r="N88" s="112"/>
    </row>
    <row r="89" spans="1:15" s="113" customFormat="1" x14ac:dyDescent="0.2">
      <c r="A89" s="132"/>
      <c r="B89" s="132"/>
      <c r="C89" s="134"/>
      <c r="D89" s="131">
        <v>0</v>
      </c>
      <c r="E89" s="131">
        <v>0</v>
      </c>
      <c r="F89" s="131">
        <v>0</v>
      </c>
      <c r="G89" s="128">
        <f t="shared" si="27"/>
        <v>0</v>
      </c>
      <c r="H89" s="156">
        <f t="shared" si="28"/>
        <v>0</v>
      </c>
      <c r="I89" s="33">
        <f>E89</f>
        <v>0</v>
      </c>
      <c r="J89" s="156">
        <f t="shared" si="29"/>
        <v>0</v>
      </c>
      <c r="K89" s="33">
        <f>F89</f>
        <v>0</v>
      </c>
      <c r="L89" s="156">
        <f t="shared" si="30"/>
        <v>0</v>
      </c>
      <c r="M89" s="87">
        <f t="shared" si="21"/>
        <v>0</v>
      </c>
      <c r="N89" s="112"/>
    </row>
    <row r="90" spans="1:15" s="113" customFormat="1" x14ac:dyDescent="0.2">
      <c r="A90" s="132"/>
      <c r="B90" s="132"/>
      <c r="C90" s="134"/>
      <c r="D90" s="131">
        <v>0</v>
      </c>
      <c r="E90" s="131">
        <v>0</v>
      </c>
      <c r="F90" s="131">
        <v>0</v>
      </c>
      <c r="G90" s="128">
        <f t="shared" si="27"/>
        <v>0</v>
      </c>
      <c r="H90" s="156">
        <f t="shared" si="28"/>
        <v>0</v>
      </c>
      <c r="I90" s="33">
        <f>E90</f>
        <v>0</v>
      </c>
      <c r="J90" s="156">
        <f t="shared" si="29"/>
        <v>0</v>
      </c>
      <c r="K90" s="33">
        <f>F90</f>
        <v>0</v>
      </c>
      <c r="L90" s="156">
        <f t="shared" si="30"/>
        <v>0</v>
      </c>
      <c r="M90" s="87">
        <f t="shared" si="21"/>
        <v>0</v>
      </c>
      <c r="N90" s="112"/>
    </row>
    <row r="91" spans="1:15" s="113" customFormat="1" x14ac:dyDescent="0.2">
      <c r="A91" s="699" t="s">
        <v>121</v>
      </c>
      <c r="B91" s="699"/>
      <c r="C91" s="699"/>
      <c r="D91" s="134"/>
      <c r="E91" s="134"/>
      <c r="F91" s="134"/>
      <c r="G91" s="24">
        <f>SUM(G86:G90)</f>
        <v>0</v>
      </c>
      <c r="H91" s="156">
        <f t="shared" si="28"/>
        <v>0</v>
      </c>
      <c r="I91" s="24">
        <f>SUM(I86:I90)</f>
        <v>0</v>
      </c>
      <c r="J91" s="156">
        <f t="shared" si="29"/>
        <v>0</v>
      </c>
      <c r="K91" s="24">
        <f>SUM(K86:K90)</f>
        <v>0</v>
      </c>
      <c r="L91" s="156">
        <f t="shared" si="30"/>
        <v>0</v>
      </c>
      <c r="M91" s="85">
        <f t="shared" si="21"/>
        <v>0</v>
      </c>
      <c r="N91" s="112"/>
    </row>
    <row r="92" spans="1:15" ht="12.75" customHeight="1" x14ac:dyDescent="0.2">
      <c r="A92" s="699" t="s">
        <v>122</v>
      </c>
      <c r="B92" s="699"/>
      <c r="C92" s="699"/>
      <c r="D92" s="134"/>
      <c r="E92" s="134"/>
      <c r="F92" s="134"/>
      <c r="G92" s="24">
        <f>G84+G91</f>
        <v>38696.5</v>
      </c>
      <c r="H92" s="156">
        <f t="shared" si="28"/>
        <v>1</v>
      </c>
      <c r="I92" s="24">
        <f>I84+I91</f>
        <v>3150</v>
      </c>
      <c r="J92" s="156">
        <f t="shared" si="29"/>
        <v>1</v>
      </c>
      <c r="K92" s="24">
        <f>K84+K91</f>
        <v>3307.5</v>
      </c>
      <c r="L92" s="240">
        <f t="shared" si="30"/>
        <v>1</v>
      </c>
      <c r="M92" s="87">
        <f>G92+I92+K92</f>
        <v>45154</v>
      </c>
      <c r="N92" s="115" t="s">
        <v>6</v>
      </c>
      <c r="O92" s="116" t="s">
        <v>123</v>
      </c>
    </row>
    <row r="93" spans="1:15" ht="15" x14ac:dyDescent="0.25">
      <c r="A93" s="206" t="s">
        <v>124</v>
      </c>
      <c r="B93" s="183"/>
      <c r="C93" s="183"/>
      <c r="D93" s="183"/>
      <c r="E93" s="183"/>
      <c r="F93" s="183"/>
      <c r="G93" s="183"/>
      <c r="H93" s="184"/>
      <c r="I93" s="183"/>
      <c r="J93" s="184"/>
      <c r="K93" s="183"/>
      <c r="L93" s="184"/>
      <c r="M93" s="185"/>
    </row>
    <row r="94" spans="1:15" x14ac:dyDescent="0.2">
      <c r="A94" s="700" t="s">
        <v>125</v>
      </c>
      <c r="B94" s="701"/>
      <c r="C94" s="702"/>
      <c r="D94" s="702"/>
      <c r="E94" s="702"/>
      <c r="F94" s="702"/>
      <c r="G94" s="703"/>
      <c r="H94" s="156"/>
      <c r="I94" s="704" t="s">
        <v>19</v>
      </c>
      <c r="J94" s="704"/>
      <c r="K94" s="704"/>
      <c r="L94" s="175"/>
      <c r="M94" s="2"/>
    </row>
    <row r="95" spans="1:15" ht="12.75" customHeight="1" x14ac:dyDescent="0.2">
      <c r="A95" s="117" t="s">
        <v>126</v>
      </c>
      <c r="B95" s="3" t="s">
        <v>20</v>
      </c>
      <c r="C95" s="382" t="s">
        <v>21</v>
      </c>
      <c r="D95" s="382" t="s">
        <v>22</v>
      </c>
      <c r="E95" s="681"/>
      <c r="F95" s="58"/>
      <c r="G95" s="58"/>
      <c r="H95" s="156"/>
      <c r="I95" s="682">
        <f>I13</f>
        <v>0.05</v>
      </c>
      <c r="J95" s="683"/>
      <c r="K95" s="682">
        <f>K13</f>
        <v>0.05</v>
      </c>
      <c r="L95" s="683"/>
      <c r="M95" s="29" t="s">
        <v>23</v>
      </c>
      <c r="N95" s="73"/>
      <c r="O95" s="55"/>
    </row>
    <row r="96" spans="1:15" ht="12.75" customHeight="1" x14ac:dyDescent="0.2">
      <c r="A96" s="36"/>
      <c r="B96" s="36"/>
      <c r="C96" s="215"/>
      <c r="D96" s="684">
        <f>D15</f>
        <v>0.26</v>
      </c>
      <c r="E96" s="679" t="s">
        <v>23</v>
      </c>
      <c r="F96" s="679" t="s">
        <v>127</v>
      </c>
      <c r="G96" s="181">
        <f>G14</f>
        <v>43101</v>
      </c>
      <c r="H96" s="156"/>
      <c r="I96" s="181">
        <f>I14</f>
        <v>43466</v>
      </c>
      <c r="J96" s="181"/>
      <c r="K96" s="181">
        <f>K14</f>
        <v>43831</v>
      </c>
      <c r="L96" s="162"/>
      <c r="M96" s="181"/>
      <c r="O96" s="113"/>
    </row>
    <row r="97" spans="1:15" ht="12.75" customHeight="1" x14ac:dyDescent="0.2">
      <c r="A97" s="187" t="s">
        <v>128</v>
      </c>
      <c r="B97" s="236"/>
      <c r="C97" s="685">
        <v>0</v>
      </c>
      <c r="D97" s="686">
        <f>C97*$D$96</f>
        <v>0</v>
      </c>
      <c r="E97" s="686">
        <f t="shared" ref="E97:E102" si="31">C97+D97</f>
        <v>0</v>
      </c>
      <c r="F97" s="687">
        <v>1</v>
      </c>
      <c r="G97" s="143">
        <f t="shared" ref="G97:G102" si="32">IF(ISBLANK(B97),0,IF($B97&gt;=G$14,IF($B97&lt;I$14,(((I$96-$B97)/365)*$E97*$F97),0),($E97*$F97)))</f>
        <v>0</v>
      </c>
      <c r="H97" s="156">
        <f t="shared" ref="H97:H105" si="33">IFERROR(G97/$G$145,0)</f>
        <v>0</v>
      </c>
      <c r="I97" s="143">
        <f t="shared" ref="I97:I102" si="34">IF(ISBLANK($B97),0,IF($B97&gt;=I$14,IF($B97&lt;K$14,(((K$96-$B97)/365)*$E97*$F97),0),($E97*$F97))*(1+I$13))</f>
        <v>0</v>
      </c>
      <c r="J97" s="156">
        <f t="shared" ref="J97:J105" si="35">IFERROR(I97/$I$145,0)</f>
        <v>0</v>
      </c>
      <c r="K97" s="143">
        <f t="shared" ref="K97:K102" si="36">IF(ISBLANK($B97),0,IF($B97&gt;=K$14,IF($B97&lt;M$14,(((M$96-$B97)/365)*$E97*$F97),0),($E97*$F97))*(1+I$13)*(1+K$13))</f>
        <v>0</v>
      </c>
      <c r="L97" s="156">
        <f t="shared" ref="L97:L105" si="37">IFERROR(K97/$K$145,0)</f>
        <v>0</v>
      </c>
      <c r="M97" s="24">
        <f t="shared" ref="M97:M103" si="38">G97+I97+K97</f>
        <v>0</v>
      </c>
      <c r="N97" s="70" t="s">
        <v>6</v>
      </c>
      <c r="O97" s="56" t="s">
        <v>129</v>
      </c>
    </row>
    <row r="98" spans="1:15" ht="12.75" customHeight="1" x14ac:dyDescent="0.2">
      <c r="A98" s="187" t="s">
        <v>130</v>
      </c>
      <c r="B98" s="236"/>
      <c r="C98" s="685">
        <v>0</v>
      </c>
      <c r="D98" s="686">
        <f t="shared" ref="D98:D102" si="39">C98*$D$96</f>
        <v>0</v>
      </c>
      <c r="E98" s="686">
        <f t="shared" si="31"/>
        <v>0</v>
      </c>
      <c r="F98" s="688">
        <v>1</v>
      </c>
      <c r="G98" s="143">
        <f t="shared" si="32"/>
        <v>0</v>
      </c>
      <c r="H98" s="156">
        <f t="shared" si="33"/>
        <v>0</v>
      </c>
      <c r="I98" s="143">
        <f t="shared" si="34"/>
        <v>0</v>
      </c>
      <c r="J98" s="156">
        <f t="shared" si="35"/>
        <v>0</v>
      </c>
      <c r="K98" s="143">
        <f t="shared" si="36"/>
        <v>0</v>
      </c>
      <c r="L98" s="156">
        <f t="shared" si="37"/>
        <v>0</v>
      </c>
      <c r="M98" s="24">
        <f t="shared" si="38"/>
        <v>0</v>
      </c>
      <c r="O98" s="56" t="s">
        <v>131</v>
      </c>
    </row>
    <row r="99" spans="1:15" ht="12.75" customHeight="1" x14ac:dyDescent="0.2">
      <c r="A99" s="209"/>
      <c r="B99" s="236"/>
      <c r="C99" s="685">
        <v>0</v>
      </c>
      <c r="D99" s="686">
        <f t="shared" si="39"/>
        <v>0</v>
      </c>
      <c r="E99" s="686">
        <f t="shared" si="31"/>
        <v>0</v>
      </c>
      <c r="F99" s="688">
        <v>1</v>
      </c>
      <c r="G99" s="143">
        <f t="shared" si="32"/>
        <v>0</v>
      </c>
      <c r="H99" s="156">
        <f t="shared" si="33"/>
        <v>0</v>
      </c>
      <c r="I99" s="143">
        <f t="shared" si="34"/>
        <v>0</v>
      </c>
      <c r="J99" s="156">
        <f t="shared" si="35"/>
        <v>0</v>
      </c>
      <c r="K99" s="143">
        <f t="shared" si="36"/>
        <v>0</v>
      </c>
      <c r="L99" s="156">
        <f t="shared" si="37"/>
        <v>0</v>
      </c>
      <c r="M99" s="24">
        <f t="shared" si="38"/>
        <v>0</v>
      </c>
      <c r="N99" s="70" t="s">
        <v>6</v>
      </c>
      <c r="O99" t="s">
        <v>132</v>
      </c>
    </row>
    <row r="100" spans="1:15" ht="12.75" customHeight="1" x14ac:dyDescent="0.2">
      <c r="A100" s="209"/>
      <c r="B100" s="236"/>
      <c r="C100" s="685">
        <v>0</v>
      </c>
      <c r="D100" s="686">
        <f t="shared" si="39"/>
        <v>0</v>
      </c>
      <c r="E100" s="686">
        <f t="shared" si="31"/>
        <v>0</v>
      </c>
      <c r="F100" s="688">
        <v>1</v>
      </c>
      <c r="G100" s="143">
        <f t="shared" si="32"/>
        <v>0</v>
      </c>
      <c r="H100" s="156">
        <f t="shared" si="33"/>
        <v>0</v>
      </c>
      <c r="I100" s="143">
        <f t="shared" si="34"/>
        <v>0</v>
      </c>
      <c r="J100" s="156">
        <f t="shared" si="35"/>
        <v>0</v>
      </c>
      <c r="K100" s="143">
        <f t="shared" si="36"/>
        <v>0</v>
      </c>
      <c r="L100" s="156">
        <f t="shared" si="37"/>
        <v>0</v>
      </c>
      <c r="M100" s="24">
        <f t="shared" si="38"/>
        <v>0</v>
      </c>
      <c r="N100" s="70" t="s">
        <v>6</v>
      </c>
      <c r="O100" t="s">
        <v>133</v>
      </c>
    </row>
    <row r="101" spans="1:15" ht="12.75" customHeight="1" x14ac:dyDescent="0.2">
      <c r="A101" s="209"/>
      <c r="B101" s="209"/>
      <c r="C101" s="685">
        <v>0</v>
      </c>
      <c r="D101" s="686">
        <f t="shared" si="39"/>
        <v>0</v>
      </c>
      <c r="E101" s="686">
        <f t="shared" si="31"/>
        <v>0</v>
      </c>
      <c r="F101" s="688">
        <v>1</v>
      </c>
      <c r="G101" s="143">
        <f t="shared" si="32"/>
        <v>0</v>
      </c>
      <c r="H101" s="156">
        <f t="shared" si="33"/>
        <v>0</v>
      </c>
      <c r="I101" s="143">
        <f t="shared" si="34"/>
        <v>0</v>
      </c>
      <c r="J101" s="156">
        <f t="shared" si="35"/>
        <v>0</v>
      </c>
      <c r="K101" s="143">
        <f t="shared" si="36"/>
        <v>0</v>
      </c>
      <c r="L101" s="156">
        <f t="shared" si="37"/>
        <v>0</v>
      </c>
      <c r="M101" s="24">
        <f t="shared" si="38"/>
        <v>0</v>
      </c>
      <c r="N101" s="70" t="s">
        <v>6</v>
      </c>
      <c r="O101" t="s">
        <v>33</v>
      </c>
    </row>
    <row r="102" spans="1:15" ht="12.75" customHeight="1" x14ac:dyDescent="0.2">
      <c r="A102" s="209"/>
      <c r="B102" s="209"/>
      <c r="C102" s="685">
        <v>0</v>
      </c>
      <c r="D102" s="686">
        <f t="shared" si="39"/>
        <v>0</v>
      </c>
      <c r="E102" s="686">
        <f t="shared" si="31"/>
        <v>0</v>
      </c>
      <c r="F102" s="688">
        <v>1</v>
      </c>
      <c r="G102" s="143">
        <f t="shared" si="32"/>
        <v>0</v>
      </c>
      <c r="H102" s="156">
        <f t="shared" si="33"/>
        <v>0</v>
      </c>
      <c r="I102" s="143">
        <f t="shared" si="34"/>
        <v>0</v>
      </c>
      <c r="J102" s="156">
        <f t="shared" si="35"/>
        <v>0</v>
      </c>
      <c r="K102" s="143">
        <f t="shared" si="36"/>
        <v>0</v>
      </c>
      <c r="L102" s="156">
        <f t="shared" si="37"/>
        <v>0</v>
      </c>
      <c r="M102" s="24">
        <f t="shared" si="38"/>
        <v>0</v>
      </c>
      <c r="N102" s="115"/>
      <c r="O102" s="49"/>
    </row>
    <row r="103" spans="1:15" x14ac:dyDescent="0.2">
      <c r="A103" s="80" t="s">
        <v>55</v>
      </c>
      <c r="B103" s="80"/>
      <c r="C103" s="91"/>
      <c r="D103" s="91"/>
      <c r="E103" s="91"/>
      <c r="F103" s="104"/>
      <c r="G103" s="24">
        <f>SUM(G97:G102)</f>
        <v>0</v>
      </c>
      <c r="H103" s="156">
        <f t="shared" si="33"/>
        <v>0</v>
      </c>
      <c r="I103" s="24">
        <f>SUM(I97:I102)</f>
        <v>0</v>
      </c>
      <c r="J103" s="156">
        <f t="shared" si="35"/>
        <v>0</v>
      </c>
      <c r="K103" s="24">
        <f>SUM(K97:K102)</f>
        <v>0</v>
      </c>
      <c r="L103" s="156">
        <f t="shared" si="37"/>
        <v>0</v>
      </c>
      <c r="M103" s="24">
        <f t="shared" si="38"/>
        <v>0</v>
      </c>
      <c r="N103" s="70"/>
      <c r="O103" s="20"/>
    </row>
    <row r="104" spans="1:15" ht="13.5" thickBot="1" x14ac:dyDescent="0.25">
      <c r="A104" s="28" t="s">
        <v>56</v>
      </c>
      <c r="B104" s="28"/>
      <c r="C104" s="78">
        <v>0</v>
      </c>
      <c r="D104" s="89"/>
      <c r="E104" s="89"/>
      <c r="F104" s="118"/>
      <c r="G104" s="24">
        <f>G103*C104</f>
        <v>0</v>
      </c>
      <c r="H104" s="156">
        <f t="shared" si="33"/>
        <v>0</v>
      </c>
      <c r="I104" s="24">
        <f>I103*C104</f>
        <v>0</v>
      </c>
      <c r="J104" s="156">
        <f t="shared" si="35"/>
        <v>0</v>
      </c>
      <c r="K104" s="87">
        <f>K103*C104</f>
        <v>0</v>
      </c>
      <c r="L104" s="156">
        <f t="shared" si="37"/>
        <v>0</v>
      </c>
      <c r="M104" s="61">
        <f>G104+I104+K104</f>
        <v>0</v>
      </c>
      <c r="N104" s="72" t="s">
        <v>6</v>
      </c>
      <c r="O104" s="79" t="s">
        <v>57</v>
      </c>
    </row>
    <row r="105" spans="1:15" ht="12.75" customHeight="1" thickBot="1" x14ac:dyDescent="0.25">
      <c r="A105" s="134" t="s">
        <v>58</v>
      </c>
      <c r="B105" s="134"/>
      <c r="C105" s="134"/>
      <c r="D105" s="37"/>
      <c r="E105" s="37"/>
      <c r="F105" s="37"/>
      <c r="G105" s="38">
        <f>SUM(G103:G104)</f>
        <v>0</v>
      </c>
      <c r="H105" s="156">
        <f t="shared" si="33"/>
        <v>0</v>
      </c>
      <c r="I105" s="38">
        <f>SUM(I103:I104)</f>
        <v>0</v>
      </c>
      <c r="J105" s="156">
        <f t="shared" si="35"/>
        <v>0</v>
      </c>
      <c r="K105" s="38">
        <f>SUM(K103:K104)</f>
        <v>0</v>
      </c>
      <c r="L105" s="156">
        <f t="shared" si="37"/>
        <v>0</v>
      </c>
      <c r="M105" s="35">
        <f>G105+I105+K105</f>
        <v>0</v>
      </c>
      <c r="N105" s="115"/>
      <c r="O105" s="49"/>
    </row>
    <row r="106" spans="1:15" ht="12.75" customHeight="1" x14ac:dyDescent="0.2">
      <c r="A106" s="58"/>
      <c r="B106" s="58"/>
      <c r="C106" s="58"/>
      <c r="D106" s="58"/>
      <c r="E106" s="58"/>
      <c r="F106" s="58"/>
      <c r="G106" s="58"/>
      <c r="H106" s="156"/>
      <c r="I106" s="58"/>
      <c r="J106" s="156"/>
      <c r="K106" s="58"/>
      <c r="L106" s="689"/>
      <c r="M106" s="182"/>
      <c r="N106" s="115"/>
      <c r="O106" s="49"/>
    </row>
    <row r="107" spans="1:15" ht="12.75" customHeight="1" x14ac:dyDescent="0.2">
      <c r="A107" s="9" t="s">
        <v>134</v>
      </c>
      <c r="B107" s="10"/>
      <c r="C107" s="10"/>
      <c r="D107" s="10"/>
      <c r="E107" s="10"/>
      <c r="F107" s="10"/>
      <c r="G107" s="39"/>
      <c r="H107" s="161"/>
      <c r="I107" s="39"/>
      <c r="J107" s="161"/>
      <c r="K107" s="39"/>
      <c r="L107" s="163"/>
      <c r="M107" s="40"/>
      <c r="N107" s="115"/>
      <c r="O107" s="49"/>
    </row>
    <row r="108" spans="1:15" ht="12.75" customHeight="1" x14ac:dyDescent="0.2">
      <c r="A108" s="58"/>
      <c r="B108" s="58"/>
      <c r="C108" s="58" t="s">
        <v>109</v>
      </c>
      <c r="D108" s="45"/>
      <c r="E108" s="45"/>
      <c r="F108" s="45"/>
      <c r="G108" s="181">
        <f>G14</f>
        <v>43101</v>
      </c>
      <c r="H108" s="156"/>
      <c r="I108" s="181">
        <f>I14</f>
        <v>43466</v>
      </c>
      <c r="J108" s="156"/>
      <c r="K108" s="181">
        <f>K14</f>
        <v>43831</v>
      </c>
      <c r="L108" s="162"/>
      <c r="M108" s="41" t="s">
        <v>23</v>
      </c>
    </row>
    <row r="109" spans="1:15" x14ac:dyDescent="0.2">
      <c r="A109" s="50" t="s">
        <v>135</v>
      </c>
      <c r="B109" s="50"/>
      <c r="C109" s="199">
        <v>0</v>
      </c>
      <c r="D109" s="27">
        <v>300</v>
      </c>
      <c r="E109" s="224">
        <f>D109*(1+$I$13)</f>
        <v>315</v>
      </c>
      <c r="F109" s="224">
        <f>E109*(1+$K$13)</f>
        <v>330.75</v>
      </c>
      <c r="G109" s="65">
        <f>C109*D109</f>
        <v>0</v>
      </c>
      <c r="H109" s="156">
        <f t="shared" ref="H109:H123" si="40">IFERROR(G109/$G$145,0)</f>
        <v>0</v>
      </c>
      <c r="I109" s="65">
        <f>C109*E109</f>
        <v>0</v>
      </c>
      <c r="J109" s="156">
        <f t="shared" ref="J109:J123" si="41">IFERROR(I109/$I$145,0)</f>
        <v>0</v>
      </c>
      <c r="K109" s="65">
        <f>C109*F109</f>
        <v>0</v>
      </c>
      <c r="L109" s="156">
        <f t="shared" ref="L109:L123" si="42">IFERROR(K109/$K$145,0)</f>
        <v>0</v>
      </c>
      <c r="M109" s="87">
        <f t="shared" ref="M109" si="43">G109+I109+K109</f>
        <v>0</v>
      </c>
      <c r="N109" s="72" t="s">
        <v>6</v>
      </c>
      <c r="O109" s="49" t="s">
        <v>136</v>
      </c>
    </row>
    <row r="110" spans="1:15" x14ac:dyDescent="0.2">
      <c r="A110" s="58" t="s">
        <v>137</v>
      </c>
      <c r="B110" s="75"/>
      <c r="C110" s="199">
        <v>0</v>
      </c>
      <c r="D110" s="27">
        <v>200</v>
      </c>
      <c r="E110" s="224">
        <f>D110*(1+$I$13)</f>
        <v>210</v>
      </c>
      <c r="F110" s="224">
        <f>E110*(1+$K$13)</f>
        <v>220.5</v>
      </c>
      <c r="G110" s="65">
        <f>C110*D110</f>
        <v>0</v>
      </c>
      <c r="H110" s="156">
        <f t="shared" si="40"/>
        <v>0</v>
      </c>
      <c r="I110" s="65">
        <f>C110*E110</f>
        <v>0</v>
      </c>
      <c r="J110" s="156">
        <f t="shared" si="41"/>
        <v>0</v>
      </c>
      <c r="K110" s="65">
        <f>C110*F110</f>
        <v>0</v>
      </c>
      <c r="L110" s="156">
        <f t="shared" si="42"/>
        <v>0</v>
      </c>
      <c r="M110" s="87">
        <f>G110+I110+K110</f>
        <v>0</v>
      </c>
      <c r="N110" s="72" t="s">
        <v>6</v>
      </c>
      <c r="O110" s="49" t="s">
        <v>138</v>
      </c>
    </row>
    <row r="111" spans="1:15" x14ac:dyDescent="0.2">
      <c r="A111" s="58" t="s">
        <v>139</v>
      </c>
      <c r="B111" s="75"/>
      <c r="C111" s="225">
        <f>C109+C110</f>
        <v>0</v>
      </c>
      <c r="D111" s="198">
        <v>1430</v>
      </c>
      <c r="E111" s="198">
        <f>D111*(1+I13)</f>
        <v>1501.5</v>
      </c>
      <c r="F111" s="198">
        <f>E111*(1+K13)</f>
        <v>1576.575</v>
      </c>
      <c r="G111" s="65">
        <f>D111*C111</f>
        <v>0</v>
      </c>
      <c r="H111" s="156">
        <f t="shared" si="40"/>
        <v>0</v>
      </c>
      <c r="I111" s="65">
        <f>C111*E111</f>
        <v>0</v>
      </c>
      <c r="J111" s="156">
        <f t="shared" si="41"/>
        <v>0</v>
      </c>
      <c r="K111" s="65">
        <f>C111*F111</f>
        <v>0</v>
      </c>
      <c r="L111" s="156">
        <f t="shared" si="42"/>
        <v>0</v>
      </c>
      <c r="M111" s="87">
        <f>G111+I111+K111</f>
        <v>0</v>
      </c>
      <c r="N111" s="70" t="s">
        <v>6</v>
      </c>
      <c r="O111" s="49" t="s">
        <v>140</v>
      </c>
    </row>
    <row r="112" spans="1:15" ht="12.75" customHeight="1" x14ac:dyDescent="0.2">
      <c r="A112" s="58" t="s">
        <v>141</v>
      </c>
      <c r="B112" s="58"/>
      <c r="C112" s="58"/>
      <c r="D112" s="46">
        <v>3757</v>
      </c>
      <c r="E112" s="46">
        <v>3870</v>
      </c>
      <c r="F112" s="46">
        <f>E112*1.03</f>
        <v>3986.1</v>
      </c>
      <c r="G112" s="57">
        <v>0</v>
      </c>
      <c r="H112" s="156">
        <f t="shared" si="40"/>
        <v>0</v>
      </c>
      <c r="I112" s="57">
        <v>0</v>
      </c>
      <c r="J112" s="156">
        <f t="shared" si="41"/>
        <v>0</v>
      </c>
      <c r="K112" s="57">
        <v>0</v>
      </c>
      <c r="L112" s="156">
        <f t="shared" si="42"/>
        <v>0</v>
      </c>
      <c r="M112" s="87">
        <f t="shared" ref="M112:M118" si="44">G112+I112+K112</f>
        <v>0</v>
      </c>
      <c r="N112" s="70" t="s">
        <v>6</v>
      </c>
      <c r="O112" s="49" t="s">
        <v>142</v>
      </c>
    </row>
    <row r="113" spans="1:15" ht="12.75" customHeight="1" x14ac:dyDescent="0.2">
      <c r="A113" s="58" t="s">
        <v>143</v>
      </c>
      <c r="B113" s="58"/>
      <c r="C113" s="58"/>
      <c r="D113" s="46">
        <v>624</v>
      </c>
      <c r="E113" s="46">
        <v>648</v>
      </c>
      <c r="F113" s="46">
        <f>E113*1.03</f>
        <v>667.44</v>
      </c>
      <c r="G113" s="57">
        <v>0</v>
      </c>
      <c r="H113" s="156">
        <f t="shared" si="40"/>
        <v>0</v>
      </c>
      <c r="I113" s="57">
        <v>0</v>
      </c>
      <c r="J113" s="156">
        <f t="shared" si="41"/>
        <v>0</v>
      </c>
      <c r="K113" s="57">
        <v>0</v>
      </c>
      <c r="L113" s="156">
        <f t="shared" si="42"/>
        <v>0</v>
      </c>
      <c r="M113" s="87">
        <f t="shared" si="44"/>
        <v>0</v>
      </c>
      <c r="N113" s="70" t="s">
        <v>6</v>
      </c>
      <c r="O113" s="49" t="s">
        <v>144</v>
      </c>
    </row>
    <row r="114" spans="1:15" ht="12.75" customHeight="1" x14ac:dyDescent="0.2">
      <c r="A114" s="58" t="s">
        <v>145</v>
      </c>
      <c r="B114" s="205"/>
      <c r="C114" s="205"/>
      <c r="D114" s="45"/>
      <c r="E114" s="45"/>
      <c r="F114" s="45"/>
      <c r="G114" s="57">
        <v>0</v>
      </c>
      <c r="H114" s="156">
        <f t="shared" si="40"/>
        <v>0</v>
      </c>
      <c r="I114" s="57">
        <v>0</v>
      </c>
      <c r="J114" s="156">
        <f t="shared" si="41"/>
        <v>0</v>
      </c>
      <c r="K114" s="57">
        <v>0</v>
      </c>
      <c r="L114" s="156">
        <f t="shared" si="42"/>
        <v>0</v>
      </c>
      <c r="M114" s="87">
        <f t="shared" si="44"/>
        <v>0</v>
      </c>
      <c r="N114" s="70"/>
      <c r="O114" s="49"/>
    </row>
    <row r="115" spans="1:15" s="49" customFormat="1" ht="12.75" customHeight="1" x14ac:dyDescent="0.2">
      <c r="A115" s="3" t="s">
        <v>146</v>
      </c>
      <c r="B115" s="58"/>
      <c r="C115" s="58"/>
      <c r="D115" s="210">
        <v>400</v>
      </c>
      <c r="E115" s="210">
        <f>D115*(1+I13)</f>
        <v>420</v>
      </c>
      <c r="F115" s="210">
        <f>E115*(1+K13)</f>
        <v>441</v>
      </c>
      <c r="G115" s="57">
        <v>0</v>
      </c>
      <c r="H115" s="156">
        <f t="shared" si="40"/>
        <v>0</v>
      </c>
      <c r="I115" s="57">
        <v>0</v>
      </c>
      <c r="J115" s="156">
        <f t="shared" si="41"/>
        <v>0</v>
      </c>
      <c r="K115" s="57">
        <v>0</v>
      </c>
      <c r="L115" s="156">
        <f t="shared" si="42"/>
        <v>0</v>
      </c>
      <c r="M115" s="87">
        <f t="shared" si="44"/>
        <v>0</v>
      </c>
    </row>
    <row r="116" spans="1:15" ht="12.75" customHeight="1" x14ac:dyDescent="0.2">
      <c r="A116" s="3" t="s">
        <v>147</v>
      </c>
      <c r="B116" s="58"/>
      <c r="C116" s="58" t="s">
        <v>148</v>
      </c>
      <c r="D116" s="211"/>
      <c r="E116" s="211"/>
      <c r="F116" s="211">
        <v>200</v>
      </c>
      <c r="G116" s="57">
        <v>0</v>
      </c>
      <c r="H116" s="156">
        <f t="shared" si="40"/>
        <v>0</v>
      </c>
      <c r="I116" s="57">
        <v>0</v>
      </c>
      <c r="J116" s="156">
        <f t="shared" si="41"/>
        <v>0</v>
      </c>
      <c r="K116" s="57">
        <v>0</v>
      </c>
      <c r="L116" s="156">
        <f t="shared" si="42"/>
        <v>0</v>
      </c>
      <c r="M116" s="87">
        <f t="shared" si="44"/>
        <v>0</v>
      </c>
      <c r="N116" s="70"/>
      <c r="O116" s="49"/>
    </row>
    <row r="117" spans="1:15" ht="12.75" customHeight="1" x14ac:dyDescent="0.2">
      <c r="A117" s="187" t="s">
        <v>149</v>
      </c>
      <c r="B117" s="209"/>
      <c r="C117" s="209"/>
      <c r="D117" s="45"/>
      <c r="E117" s="45"/>
      <c r="F117" s="45"/>
      <c r="G117" s="57">
        <v>0</v>
      </c>
      <c r="H117" s="156">
        <f t="shared" si="40"/>
        <v>0</v>
      </c>
      <c r="I117" s="57">
        <v>0</v>
      </c>
      <c r="J117" s="156">
        <f t="shared" si="41"/>
        <v>0</v>
      </c>
      <c r="K117" s="57">
        <v>0</v>
      </c>
      <c r="L117" s="156">
        <f t="shared" si="42"/>
        <v>0</v>
      </c>
      <c r="M117" s="87">
        <f t="shared" si="44"/>
        <v>0</v>
      </c>
      <c r="N117" s="115"/>
      <c r="O117" s="49"/>
    </row>
    <row r="118" spans="1:15" ht="12.75" customHeight="1" x14ac:dyDescent="0.2">
      <c r="A118" s="187" t="s">
        <v>149</v>
      </c>
      <c r="B118" s="209"/>
      <c r="C118" s="209"/>
      <c r="D118" s="45"/>
      <c r="E118" s="45"/>
      <c r="F118" s="45"/>
      <c r="G118" s="57">
        <v>0</v>
      </c>
      <c r="H118" s="156">
        <f t="shared" si="40"/>
        <v>0</v>
      </c>
      <c r="I118" s="57">
        <v>0</v>
      </c>
      <c r="J118" s="156">
        <f t="shared" si="41"/>
        <v>0</v>
      </c>
      <c r="K118" s="57">
        <v>0</v>
      </c>
      <c r="L118" s="156">
        <f t="shared" si="42"/>
        <v>0</v>
      </c>
      <c r="M118" s="87">
        <f t="shared" si="44"/>
        <v>0</v>
      </c>
      <c r="N118" s="115"/>
      <c r="O118" s="49"/>
    </row>
    <row r="119" spans="1:15" ht="12.75" customHeight="1" x14ac:dyDescent="0.2">
      <c r="A119" s="134" t="s">
        <v>55</v>
      </c>
      <c r="B119" s="119"/>
      <c r="C119" s="58"/>
      <c r="D119" s="45"/>
      <c r="E119" s="45"/>
      <c r="F119" s="45"/>
      <c r="G119" s="120">
        <f>SUM(G109:G118)</f>
        <v>0</v>
      </c>
      <c r="H119" s="156">
        <f t="shared" si="40"/>
        <v>0</v>
      </c>
      <c r="I119" s="120">
        <f>SUM(I109:I118)</f>
        <v>0</v>
      </c>
      <c r="J119" s="156">
        <f t="shared" si="41"/>
        <v>0</v>
      </c>
      <c r="K119" s="120">
        <f>SUM(K109:K118)</f>
        <v>0</v>
      </c>
      <c r="L119" s="156">
        <f t="shared" si="42"/>
        <v>0</v>
      </c>
      <c r="M119" s="120">
        <f>SUM(M109:M118)</f>
        <v>0</v>
      </c>
      <c r="N119" s="115"/>
      <c r="O119" s="49"/>
    </row>
    <row r="120" spans="1:15" ht="12.75" customHeight="1" x14ac:dyDescent="0.2">
      <c r="A120" s="80" t="s">
        <v>56</v>
      </c>
      <c r="B120" s="80"/>
      <c r="C120" s="78">
        <v>0</v>
      </c>
      <c r="D120" s="77"/>
      <c r="E120" s="77"/>
      <c r="F120" s="105"/>
      <c r="G120" s="61">
        <f>G119*C120</f>
        <v>0</v>
      </c>
      <c r="H120" s="156">
        <f t="shared" si="40"/>
        <v>0</v>
      </c>
      <c r="I120" s="61">
        <f>I119*C120</f>
        <v>0</v>
      </c>
      <c r="J120" s="156">
        <f t="shared" si="41"/>
        <v>0</v>
      </c>
      <c r="K120" s="61">
        <f>K119*C120</f>
        <v>0</v>
      </c>
      <c r="L120" s="156">
        <f t="shared" si="42"/>
        <v>0</v>
      </c>
      <c r="M120" s="61">
        <f>G120+I120+K120</f>
        <v>0</v>
      </c>
      <c r="N120" s="72" t="s">
        <v>6</v>
      </c>
      <c r="O120" s="79" t="s">
        <v>57</v>
      </c>
    </row>
    <row r="121" spans="1:15" ht="12.75" customHeight="1" x14ac:dyDescent="0.2">
      <c r="A121" s="110" t="s">
        <v>150</v>
      </c>
      <c r="B121" s="90"/>
      <c r="C121" s="121"/>
      <c r="D121" s="32"/>
      <c r="E121" s="32"/>
      <c r="F121" s="122"/>
      <c r="G121" s="24">
        <f>SUM(G119+G120)</f>
        <v>0</v>
      </c>
      <c r="H121" s="156">
        <f t="shared" si="40"/>
        <v>0</v>
      </c>
      <c r="I121" s="24">
        <f>SUM(I119+I120)</f>
        <v>0</v>
      </c>
      <c r="J121" s="156">
        <f t="shared" si="41"/>
        <v>0</v>
      </c>
      <c r="K121" s="24">
        <f>SUM(K119+K120)</f>
        <v>0</v>
      </c>
      <c r="L121" s="156">
        <f t="shared" si="42"/>
        <v>0</v>
      </c>
      <c r="M121" s="24">
        <f>SUM(M119+M120)</f>
        <v>0</v>
      </c>
      <c r="N121" s="72"/>
      <c r="O121" s="79"/>
    </row>
    <row r="122" spans="1:15" ht="13.7" customHeight="1" thickBot="1" x14ac:dyDescent="0.25">
      <c r="A122" s="123" t="s">
        <v>151</v>
      </c>
      <c r="B122" s="136"/>
      <c r="C122" s="690"/>
      <c r="D122" s="690"/>
      <c r="E122" s="690"/>
      <c r="F122" s="690"/>
      <c r="G122" s="124">
        <f>G105+G121</f>
        <v>0</v>
      </c>
      <c r="H122" s="156">
        <f t="shared" si="40"/>
        <v>0</v>
      </c>
      <c r="I122" s="124">
        <f>I105+I121</f>
        <v>0</v>
      </c>
      <c r="J122" s="156">
        <f t="shared" si="41"/>
        <v>0</v>
      </c>
      <c r="K122" s="124">
        <f>K105+K121</f>
        <v>0</v>
      </c>
      <c r="L122" s="156">
        <f t="shared" si="42"/>
        <v>0</v>
      </c>
      <c r="M122" s="241">
        <f>M105+M121</f>
        <v>0</v>
      </c>
    </row>
    <row r="123" spans="1:15" ht="13.5" thickBot="1" x14ac:dyDescent="0.25">
      <c r="A123" s="9" t="s">
        <v>152</v>
      </c>
      <c r="B123" s="10"/>
      <c r="C123" s="10"/>
      <c r="D123" s="10"/>
      <c r="E123" s="10"/>
      <c r="F123" s="11"/>
      <c r="G123" s="24">
        <f>SUM(G84+G122)</f>
        <v>38696.5</v>
      </c>
      <c r="H123" s="156">
        <f t="shared" si="40"/>
        <v>1</v>
      </c>
      <c r="I123" s="24">
        <f>SUM(I84+I122)</f>
        <v>3150</v>
      </c>
      <c r="J123" s="156">
        <f t="shared" si="41"/>
        <v>1</v>
      </c>
      <c r="K123" s="24">
        <f>SUM(K84+K122)</f>
        <v>3307.5</v>
      </c>
      <c r="L123" s="240">
        <f t="shared" si="42"/>
        <v>1</v>
      </c>
      <c r="M123" s="35">
        <f>SUM(M84+M122)</f>
        <v>45154</v>
      </c>
    </row>
    <row r="124" spans="1:15" ht="30" customHeight="1" x14ac:dyDescent="0.25">
      <c r="A124" s="705" t="s">
        <v>153</v>
      </c>
      <c r="B124" s="706"/>
      <c r="C124" s="707"/>
      <c r="D124" s="707"/>
      <c r="E124" s="707"/>
      <c r="F124" s="707"/>
      <c r="G124" s="707"/>
      <c r="H124" s="707"/>
      <c r="I124" s="707"/>
      <c r="J124" s="707"/>
      <c r="K124" s="707"/>
      <c r="L124" s="707"/>
      <c r="M124" s="707"/>
      <c r="N124" s="70"/>
    </row>
    <row r="125" spans="1:15" x14ac:dyDescent="0.2">
      <c r="A125" s="9" t="s">
        <v>154</v>
      </c>
      <c r="B125" s="10"/>
      <c r="C125" s="10"/>
      <c r="D125" s="195">
        <f>G14</f>
        <v>43101</v>
      </c>
      <c r="E125" s="195">
        <f>I14</f>
        <v>43466</v>
      </c>
      <c r="F125" s="195">
        <f>K14</f>
        <v>43831</v>
      </c>
      <c r="G125" s="10"/>
      <c r="H125" s="160"/>
      <c r="I125" s="10"/>
      <c r="J125" s="160"/>
      <c r="K125" s="10"/>
      <c r="L125" s="160"/>
      <c r="M125" s="11"/>
      <c r="N125" s="70" t="s">
        <v>6</v>
      </c>
      <c r="O125" s="708" t="s">
        <v>155</v>
      </c>
    </row>
    <row r="126" spans="1:15" x14ac:dyDescent="0.2">
      <c r="A126" s="696" t="s">
        <v>14</v>
      </c>
      <c r="B126" s="697"/>
      <c r="C126" s="698"/>
      <c r="D126" s="129">
        <v>0</v>
      </c>
      <c r="E126" s="129">
        <v>0</v>
      </c>
      <c r="F126" s="129">
        <v>0</v>
      </c>
      <c r="G126" s="133" t="s">
        <v>156</v>
      </c>
      <c r="H126" s="164"/>
      <c r="I126" s="101"/>
      <c r="J126" s="169"/>
      <c r="K126" s="101"/>
      <c r="L126" s="169"/>
      <c r="M126" s="127"/>
      <c r="O126" s="709"/>
    </row>
    <row r="127" spans="1:15" x14ac:dyDescent="0.2">
      <c r="A127" s="696" t="s">
        <v>15</v>
      </c>
      <c r="B127" s="697"/>
      <c r="C127" s="698"/>
      <c r="D127" s="129">
        <v>0</v>
      </c>
      <c r="E127" s="129">
        <v>0</v>
      </c>
      <c r="F127" s="129">
        <v>0</v>
      </c>
      <c r="G127" t="s">
        <v>157</v>
      </c>
      <c r="I127" s="103"/>
      <c r="J127" s="170"/>
      <c r="K127" s="103"/>
      <c r="L127" s="170"/>
      <c r="M127" s="149"/>
      <c r="O127" s="709"/>
    </row>
    <row r="128" spans="1:15" x14ac:dyDescent="0.2">
      <c r="A128" s="696" t="s">
        <v>16</v>
      </c>
      <c r="B128" s="697"/>
      <c r="C128" s="698"/>
      <c r="D128" s="129">
        <f>ROUNDDOWN(0.15*(COUNTIF($G$18:$G$25,"&gt;0")+COUNTIF($G$28:$G$35,"&gt;0")),0)</f>
        <v>0</v>
      </c>
      <c r="E128" s="129">
        <v>0</v>
      </c>
      <c r="F128" s="129">
        <v>0</v>
      </c>
      <c r="I128" s="103"/>
      <c r="J128" s="170"/>
      <c r="K128" s="103"/>
      <c r="L128" s="170"/>
      <c r="M128" s="149"/>
    </row>
    <row r="129" spans="1:15" x14ac:dyDescent="0.2">
      <c r="A129" s="696" t="s">
        <v>17</v>
      </c>
      <c r="B129" s="697"/>
      <c r="C129" s="698"/>
      <c r="D129" s="129">
        <v>0</v>
      </c>
      <c r="E129" s="129">
        <v>0</v>
      </c>
      <c r="F129" s="129">
        <v>0</v>
      </c>
      <c r="G129" s="66"/>
      <c r="H129" s="166"/>
      <c r="I129" s="66"/>
      <c r="J129" s="166"/>
      <c r="K129" s="66"/>
      <c r="L129" s="166"/>
      <c r="M129" s="150"/>
      <c r="N129" s="70" t="s">
        <v>6</v>
      </c>
      <c r="O129" s="102" t="s">
        <v>158</v>
      </c>
    </row>
    <row r="130" spans="1:15" ht="11.45" customHeight="1" x14ac:dyDescent="0.2">
      <c r="A130" s="9"/>
      <c r="B130" s="10"/>
      <c r="C130" s="10"/>
      <c r="D130" s="181">
        <f>D125</f>
        <v>43101</v>
      </c>
      <c r="E130" s="181">
        <f>E125</f>
        <v>43466</v>
      </c>
      <c r="F130" s="181">
        <f>F125</f>
        <v>43831</v>
      </c>
      <c r="G130" s="181">
        <f>G14</f>
        <v>43101</v>
      </c>
      <c r="H130" s="162"/>
      <c r="I130" s="181">
        <f>I14</f>
        <v>43466</v>
      </c>
      <c r="J130" s="162"/>
      <c r="K130" s="181">
        <f>K14</f>
        <v>43831</v>
      </c>
      <c r="L130" s="172"/>
      <c r="M130" s="244" t="s">
        <v>23</v>
      </c>
      <c r="O130" s="1" t="s">
        <v>159</v>
      </c>
    </row>
    <row r="131" spans="1:15" x14ac:dyDescent="0.2">
      <c r="A131" s="50" t="s">
        <v>160</v>
      </c>
      <c r="B131" s="50"/>
      <c r="C131" s="45" t="s">
        <v>113</v>
      </c>
      <c r="D131" s="125">
        <v>3174</v>
      </c>
      <c r="E131" s="125">
        <v>3264</v>
      </c>
      <c r="F131" s="125">
        <v>3360</v>
      </c>
      <c r="G131" s="46">
        <f>D131*D127</f>
        <v>0</v>
      </c>
      <c r="H131" s="156">
        <f t="shared" ref="H131:H134" si="45">IFERROR(G131/$G$145,0)</f>
        <v>0</v>
      </c>
      <c r="I131" s="680">
        <f>E127*E131</f>
        <v>0</v>
      </c>
      <c r="J131" s="156">
        <f t="shared" ref="J131:J134" si="46">IFERROR(I131/$I$145,0)</f>
        <v>0</v>
      </c>
      <c r="K131" s="680">
        <f>F127*F131</f>
        <v>0</v>
      </c>
      <c r="L131" s="156">
        <f t="shared" ref="L131:L134" si="47">IFERROR(K131/$K$145,0)</f>
        <v>0</v>
      </c>
      <c r="M131" s="24">
        <f>SUM(G131:K131)</f>
        <v>0</v>
      </c>
    </row>
    <row r="132" spans="1:15" x14ac:dyDescent="0.2">
      <c r="A132" s="108" t="s">
        <v>89</v>
      </c>
      <c r="B132" s="108"/>
      <c r="C132" s="45" t="s">
        <v>90</v>
      </c>
      <c r="D132" s="27">
        <f>D63</f>
        <v>4668</v>
      </c>
      <c r="E132" s="46">
        <f t="shared" ref="E132:F134" si="48">D132*1.03</f>
        <v>4808.04</v>
      </c>
      <c r="F132" s="47">
        <f t="shared" si="48"/>
        <v>4952.2812000000004</v>
      </c>
      <c r="G132" s="46">
        <f>D132*D128</f>
        <v>0</v>
      </c>
      <c r="H132" s="156">
        <f t="shared" si="45"/>
        <v>0</v>
      </c>
      <c r="I132" s="680">
        <f>E128*E132</f>
        <v>0</v>
      </c>
      <c r="J132" s="156">
        <f t="shared" si="46"/>
        <v>0</v>
      </c>
      <c r="K132" s="680">
        <f>F128*F132</f>
        <v>0</v>
      </c>
      <c r="L132" s="156">
        <f t="shared" si="47"/>
        <v>0</v>
      </c>
      <c r="M132" s="24">
        <f t="shared" ref="M132:M134" si="49">SUM(G132:K132)</f>
        <v>0</v>
      </c>
      <c r="N132" s="70"/>
      <c r="O132" s="49"/>
    </row>
    <row r="133" spans="1:15" x14ac:dyDescent="0.2">
      <c r="A133" s="108" t="s">
        <v>91</v>
      </c>
      <c r="B133" s="108"/>
      <c r="C133" s="45" t="s">
        <v>92</v>
      </c>
      <c r="D133" s="27">
        <f>D64</f>
        <v>5511</v>
      </c>
      <c r="E133" s="46">
        <f t="shared" si="48"/>
        <v>5676.33</v>
      </c>
      <c r="F133" s="47">
        <f>E133*1.03</f>
        <v>5846.6198999999997</v>
      </c>
      <c r="G133" s="33">
        <f>D133*D127</f>
        <v>0</v>
      </c>
      <c r="H133" s="156">
        <f t="shared" si="45"/>
        <v>0</v>
      </c>
      <c r="I133" s="680">
        <f>E127*E133</f>
        <v>0</v>
      </c>
      <c r="J133" s="156">
        <f t="shared" si="46"/>
        <v>0</v>
      </c>
      <c r="K133" s="691">
        <f>F127*F133</f>
        <v>0</v>
      </c>
      <c r="L133" s="156">
        <f t="shared" si="47"/>
        <v>0</v>
      </c>
      <c r="M133" s="24">
        <f t="shared" si="49"/>
        <v>0</v>
      </c>
      <c r="N133" s="70"/>
    </row>
    <row r="134" spans="1:15" x14ac:dyDescent="0.2">
      <c r="A134" s="108" t="s">
        <v>93</v>
      </c>
      <c r="B134" s="108"/>
      <c r="C134" s="45" t="s">
        <v>94</v>
      </c>
      <c r="D134" s="27">
        <f>D65</f>
        <v>551</v>
      </c>
      <c r="E134" s="46">
        <f t="shared" si="48"/>
        <v>567.53</v>
      </c>
      <c r="F134" s="47">
        <f t="shared" si="48"/>
        <v>584.55589999999995</v>
      </c>
      <c r="G134" s="33">
        <f>D134*D126</f>
        <v>0</v>
      </c>
      <c r="H134" s="156">
        <f t="shared" si="45"/>
        <v>0</v>
      </c>
      <c r="I134" s="202">
        <f>E134*E126</f>
        <v>0</v>
      </c>
      <c r="J134" s="156">
        <f t="shared" si="46"/>
        <v>0</v>
      </c>
      <c r="K134" s="33">
        <f>F134*F126</f>
        <v>0</v>
      </c>
      <c r="L134" s="156">
        <f t="shared" si="47"/>
        <v>0</v>
      </c>
      <c r="M134" s="24">
        <f t="shared" si="49"/>
        <v>0</v>
      </c>
    </row>
    <row r="135" spans="1:15" x14ac:dyDescent="0.2">
      <c r="A135" s="9" t="s">
        <v>161</v>
      </c>
      <c r="B135" s="10"/>
      <c r="C135" s="10"/>
      <c r="D135" s="10"/>
      <c r="E135" s="10"/>
      <c r="F135" s="10"/>
      <c r="G135" s="10"/>
      <c r="H135" s="161"/>
      <c r="I135" s="10"/>
      <c r="J135" s="161"/>
      <c r="K135" s="10"/>
      <c r="L135" s="160"/>
      <c r="M135" s="11"/>
      <c r="N135" s="70"/>
    </row>
    <row r="136" spans="1:15" x14ac:dyDescent="0.2">
      <c r="A136" s="12" t="s">
        <v>162</v>
      </c>
      <c r="B136" s="137"/>
      <c r="C136" s="51" t="s">
        <v>94</v>
      </c>
      <c r="D136" s="16">
        <f t="shared" ref="D136:F138" si="50">D69</f>
        <v>1430</v>
      </c>
      <c r="E136" s="16">
        <f t="shared" si="50"/>
        <v>1501.5</v>
      </c>
      <c r="F136" s="16">
        <f t="shared" si="50"/>
        <v>1576.575</v>
      </c>
      <c r="G136" s="203">
        <f>D136*D126</f>
        <v>0</v>
      </c>
      <c r="H136" s="156">
        <f t="shared" ref="H136:H139" si="51">IFERROR(G136/$G$145,0)</f>
        <v>0</v>
      </c>
      <c r="I136" s="203">
        <f>E136*E126</f>
        <v>0</v>
      </c>
      <c r="J136" s="156">
        <f t="shared" ref="J136:J139" si="52">IFERROR(I136/$I$145,0)</f>
        <v>0</v>
      </c>
      <c r="K136" s="203">
        <f>F136*F126</f>
        <v>0</v>
      </c>
      <c r="L136" s="156">
        <f t="shared" ref="L136:L139" si="53">IFERROR(K136/$K$145,0)</f>
        <v>0</v>
      </c>
      <c r="M136" s="24">
        <f>SUM(G136:K136)</f>
        <v>0</v>
      </c>
      <c r="N136" s="70" t="s">
        <v>6</v>
      </c>
      <c r="O136" t="s">
        <v>103</v>
      </c>
    </row>
    <row r="137" spans="1:15" x14ac:dyDescent="0.2">
      <c r="A137" s="12" t="s">
        <v>104</v>
      </c>
      <c r="B137" s="12"/>
      <c r="C137" s="58" t="s">
        <v>97</v>
      </c>
      <c r="D137" s="16">
        <f t="shared" si="50"/>
        <v>1830</v>
      </c>
      <c r="E137" s="16">
        <f t="shared" si="50"/>
        <v>1921.5</v>
      </c>
      <c r="F137" s="16">
        <f t="shared" si="50"/>
        <v>2017.575</v>
      </c>
      <c r="G137" s="203">
        <f>D137*(D127+D128)</f>
        <v>0</v>
      </c>
      <c r="H137" s="156">
        <f t="shared" si="51"/>
        <v>0</v>
      </c>
      <c r="I137" s="203">
        <f>E137*(E127+E128)</f>
        <v>0</v>
      </c>
      <c r="J137" s="156">
        <f t="shared" si="52"/>
        <v>0</v>
      </c>
      <c r="K137" s="203">
        <f>F137*(F127+F128)</f>
        <v>0</v>
      </c>
      <c r="L137" s="156">
        <f t="shared" si="53"/>
        <v>0</v>
      </c>
      <c r="M137" s="24">
        <f>SUM(G137:K137)</f>
        <v>0</v>
      </c>
      <c r="N137" s="70" t="s">
        <v>6</v>
      </c>
      <c r="O137" t="s">
        <v>103</v>
      </c>
    </row>
    <row r="138" spans="1:15" x14ac:dyDescent="0.2">
      <c r="A138" s="12" t="s">
        <v>105</v>
      </c>
      <c r="B138" s="12"/>
      <c r="C138" s="58" t="s">
        <v>92</v>
      </c>
      <c r="D138" s="16">
        <f t="shared" si="50"/>
        <v>1730</v>
      </c>
      <c r="E138" s="16">
        <f t="shared" si="50"/>
        <v>1816.5</v>
      </c>
      <c r="F138" s="16">
        <f t="shared" si="50"/>
        <v>1907.325</v>
      </c>
      <c r="G138" s="203">
        <f>D138*D127</f>
        <v>0</v>
      </c>
      <c r="H138" s="156">
        <f t="shared" si="51"/>
        <v>0</v>
      </c>
      <c r="I138" s="203">
        <f>E138*E127</f>
        <v>0</v>
      </c>
      <c r="J138" s="156">
        <f t="shared" si="52"/>
        <v>0</v>
      </c>
      <c r="K138" s="204">
        <f>F138*F127</f>
        <v>0</v>
      </c>
      <c r="L138" s="156">
        <f t="shared" si="53"/>
        <v>0</v>
      </c>
      <c r="M138" s="61">
        <f>SUM(G138:K138)</f>
        <v>0</v>
      </c>
      <c r="N138" s="70" t="s">
        <v>6</v>
      </c>
      <c r="O138" t="s">
        <v>103</v>
      </c>
    </row>
    <row r="139" spans="1:15" x14ac:dyDescent="0.2">
      <c r="A139" s="44" t="s">
        <v>106</v>
      </c>
      <c r="B139" s="44"/>
      <c r="C139" s="58" t="s">
        <v>97</v>
      </c>
      <c r="D139" s="196"/>
      <c r="E139" s="16">
        <f>E72</f>
        <v>1000</v>
      </c>
      <c r="F139" s="16">
        <f>F72</f>
        <v>1050</v>
      </c>
      <c r="G139" s="203">
        <f>D139*(D127+D128)</f>
        <v>0</v>
      </c>
      <c r="H139" s="156">
        <f t="shared" si="51"/>
        <v>0</v>
      </c>
      <c r="I139" s="203">
        <f>E139*(D127+D128)</f>
        <v>0</v>
      </c>
      <c r="J139" s="156">
        <f t="shared" si="52"/>
        <v>0</v>
      </c>
      <c r="K139" s="203">
        <f>F139*(E127+E128)</f>
        <v>0</v>
      </c>
      <c r="L139" s="156">
        <f t="shared" si="53"/>
        <v>0</v>
      </c>
      <c r="M139" s="61">
        <f>SUM(G139:K139)</f>
        <v>0</v>
      </c>
      <c r="N139" s="70" t="s">
        <v>6</v>
      </c>
      <c r="O139" t="s">
        <v>103</v>
      </c>
    </row>
    <row r="140" spans="1:15" x14ac:dyDescent="0.2">
      <c r="A140" s="9" t="s">
        <v>134</v>
      </c>
      <c r="B140" s="10"/>
      <c r="C140" s="10"/>
      <c r="D140" s="29"/>
      <c r="E140" s="29"/>
      <c r="F140" s="29"/>
      <c r="G140" s="17"/>
      <c r="H140" s="161"/>
      <c r="I140" s="18"/>
      <c r="J140" s="161"/>
      <c r="K140" s="141"/>
      <c r="L140" s="172"/>
      <c r="M140" s="11"/>
      <c r="N140" s="72"/>
      <c r="O140" s="63"/>
    </row>
    <row r="141" spans="1:15" x14ac:dyDescent="0.2">
      <c r="A141" s="108" t="s">
        <v>107</v>
      </c>
      <c r="B141" s="108"/>
      <c r="C141" s="109" t="s">
        <v>97</v>
      </c>
      <c r="D141" s="30"/>
      <c r="E141" s="46">
        <v>780</v>
      </c>
      <c r="F141" s="47">
        <v>60</v>
      </c>
      <c r="G141" s="30"/>
      <c r="H141" s="156">
        <f t="shared" ref="H141:H145" si="54">IFERROR(G141/$G$145,0)</f>
        <v>0</v>
      </c>
      <c r="I141" s="33">
        <f>E141*(D127+D128)</f>
        <v>0</v>
      </c>
      <c r="J141" s="156">
        <f t="shared" ref="J141:J145" si="55">IFERROR(I141/$I$145,0)</f>
        <v>0</v>
      </c>
      <c r="K141" s="33">
        <f>F141*(D127+D128)+E141*(E127+E128)</f>
        <v>0</v>
      </c>
      <c r="L141" s="156">
        <f t="shared" ref="L141:L145" si="56">IFERROR(K141/$K$145,0)</f>
        <v>0</v>
      </c>
      <c r="M141" s="24">
        <f>SUM(G141:K141)</f>
        <v>0</v>
      </c>
      <c r="N141" s="72" t="s">
        <v>6</v>
      </c>
      <c r="O141" s="63" t="s">
        <v>163</v>
      </c>
    </row>
    <row r="142" spans="1:15" x14ac:dyDescent="0.2">
      <c r="A142" s="83" t="s">
        <v>55</v>
      </c>
      <c r="B142" s="138"/>
      <c r="C142" s="127"/>
      <c r="D142" s="201"/>
      <c r="E142" s="86"/>
      <c r="F142" s="86"/>
      <c r="G142" s="61">
        <f>SUM(G131:G141)</f>
        <v>0</v>
      </c>
      <c r="H142" s="156">
        <f t="shared" si="54"/>
        <v>0</v>
      </c>
      <c r="I142" s="61">
        <f>SUM(I131:I141)</f>
        <v>0</v>
      </c>
      <c r="J142" s="156">
        <f t="shared" si="55"/>
        <v>0</v>
      </c>
      <c r="K142" s="85">
        <f>SUM(K131:K141)</f>
        <v>0</v>
      </c>
      <c r="L142" s="156">
        <f t="shared" si="56"/>
        <v>0</v>
      </c>
      <c r="M142" s="61">
        <f>G142+I142+K142</f>
        <v>0</v>
      </c>
      <c r="N142" s="70"/>
      <c r="O142" s="49"/>
    </row>
    <row r="143" spans="1:15" x14ac:dyDescent="0.2">
      <c r="A143" s="80" t="s">
        <v>56</v>
      </c>
      <c r="B143" s="80"/>
      <c r="C143" s="78">
        <v>0</v>
      </c>
      <c r="D143" s="77"/>
      <c r="E143" s="77"/>
      <c r="F143" s="105"/>
      <c r="G143" s="61">
        <f>$C$143*G142</f>
        <v>0</v>
      </c>
      <c r="H143" s="156">
        <f t="shared" si="54"/>
        <v>0</v>
      </c>
      <c r="I143" s="61">
        <f>I142*C143</f>
        <v>0</v>
      </c>
      <c r="J143" s="156">
        <f t="shared" si="55"/>
        <v>0</v>
      </c>
      <c r="K143" s="85">
        <f>K142*C143</f>
        <v>0</v>
      </c>
      <c r="L143" s="156">
        <f t="shared" si="56"/>
        <v>0</v>
      </c>
      <c r="M143" s="61">
        <f>G143+I143+K143</f>
        <v>0</v>
      </c>
      <c r="N143" s="72" t="s">
        <v>6</v>
      </c>
      <c r="O143" s="79" t="s">
        <v>57</v>
      </c>
    </row>
    <row r="144" spans="1:15" x14ac:dyDescent="0.2">
      <c r="A144" s="110" t="s">
        <v>164</v>
      </c>
      <c r="B144" s="139"/>
      <c r="C144" s="42"/>
      <c r="D144" s="111"/>
      <c r="E144" s="43"/>
      <c r="F144" s="12"/>
      <c r="G144" s="61">
        <f>SUM(G142:G143)</f>
        <v>0</v>
      </c>
      <c r="H144" s="156">
        <f t="shared" si="54"/>
        <v>0</v>
      </c>
      <c r="I144" s="61">
        <f>SUM(I142:I143)</f>
        <v>0</v>
      </c>
      <c r="J144" s="156">
        <f t="shared" si="55"/>
        <v>0</v>
      </c>
      <c r="K144" s="61">
        <f>SUM(K142:K143)</f>
        <v>0</v>
      </c>
      <c r="L144" s="156">
        <f t="shared" si="56"/>
        <v>0</v>
      </c>
      <c r="M144" s="61">
        <f>G144+I144+K144</f>
        <v>0</v>
      </c>
      <c r="N144" s="72"/>
      <c r="O144" s="79"/>
    </row>
    <row r="145" spans="1:15" x14ac:dyDescent="0.2">
      <c r="A145" s="9" t="s">
        <v>165</v>
      </c>
      <c r="B145" s="10"/>
      <c r="C145" s="10"/>
      <c r="D145" s="10"/>
      <c r="E145" s="10"/>
      <c r="F145" s="11"/>
      <c r="G145" s="24">
        <f>G123+G144</f>
        <v>38696.5</v>
      </c>
      <c r="H145" s="156">
        <f t="shared" si="54"/>
        <v>1</v>
      </c>
      <c r="I145" s="24">
        <f>I123+I144</f>
        <v>3150</v>
      </c>
      <c r="J145" s="156">
        <f t="shared" si="55"/>
        <v>1</v>
      </c>
      <c r="K145" s="24">
        <f>K123+K144</f>
        <v>3307.5</v>
      </c>
      <c r="L145" s="156">
        <f t="shared" si="56"/>
        <v>1</v>
      </c>
      <c r="M145" s="24">
        <f>G145+I145+K145</f>
        <v>45154</v>
      </c>
    </row>
    <row r="146" spans="1:15" ht="9.9499999999999993" customHeight="1" x14ac:dyDescent="0.2">
      <c r="N146" s="70"/>
      <c r="O146" s="1"/>
    </row>
  </sheetData>
  <protectedRanges>
    <protectedRange sqref="A16:C37" name="Personel"/>
  </protectedRanges>
  <mergeCells count="22">
    <mergeCell ref="E14:F14"/>
    <mergeCell ref="A2:M2"/>
    <mergeCell ref="A3:C3"/>
    <mergeCell ref="D3:M3"/>
    <mergeCell ref="A4:M4"/>
    <mergeCell ref="A5:M5"/>
    <mergeCell ref="A8:E8"/>
    <mergeCell ref="A9:E9"/>
    <mergeCell ref="A10:E10"/>
    <mergeCell ref="A11:E11"/>
    <mergeCell ref="A12:G12"/>
    <mergeCell ref="I12:K12"/>
    <mergeCell ref="I94:K94"/>
    <mergeCell ref="A124:M124"/>
    <mergeCell ref="O125:O127"/>
    <mergeCell ref="A126:C126"/>
    <mergeCell ref="A127:C127"/>
    <mergeCell ref="A128:C128"/>
    <mergeCell ref="A129:C129"/>
    <mergeCell ref="A91:C91"/>
    <mergeCell ref="A92:C92"/>
    <mergeCell ref="A94:G94"/>
  </mergeCells>
  <pageMargins left="0.75" right="0.75" top="0.7" bottom="0.7" header="0.25" footer="0.25"/>
  <pageSetup scale="53" fitToHeight="2" orientation="portrait" r:id="rId1"/>
  <headerFooter alignWithMargins="0">
    <oddFooter>&amp;L&amp;9&amp;F
© Copyright 2016 Nurse-Family Partnership.  All rights reserved.&amp;R&amp;9Printed &amp;D  &amp;T</oddFooter>
  </headerFooter>
  <rowBreaks count="1" manualBreakCount="1">
    <brk id="93" max="12" man="1"/>
  </rowBreaks>
  <customProperties>
    <customPr name="DrillPoint.FROID" r:id="rId2"/>
    <customPr name="DrillPoint.Mode" r:id="rId3"/>
    <customPr name="DrillPoint.Subsheet"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N147"/>
  <sheetViews>
    <sheetView showGridLines="0" tabSelected="1" zoomScale="90" zoomScaleNormal="90" workbookViewId="0">
      <selection activeCell="D106" sqref="D106"/>
    </sheetView>
  </sheetViews>
  <sheetFormatPr defaultColWidth="9.140625" defaultRowHeight="15" x14ac:dyDescent="0.25"/>
  <cols>
    <col min="1" max="1" width="55.42578125" style="246" customWidth="1"/>
    <col min="2" max="2" width="21" style="246" customWidth="1"/>
    <col min="3" max="5" width="22.7109375" style="246" customWidth="1"/>
    <col min="6" max="6" width="23.7109375" style="246" bestFit="1" customWidth="1"/>
    <col min="7" max="7" width="12.7109375" style="246" customWidth="1"/>
    <col min="8" max="8" width="6.28515625" style="263" customWidth="1"/>
    <col min="9" max="9" width="12.7109375" style="246" customWidth="1"/>
    <col min="10" max="10" width="6.28515625" style="263" customWidth="1"/>
    <col min="11" max="11" width="12.7109375" style="246" customWidth="1"/>
    <col min="12" max="12" width="6.28515625" style="263" customWidth="1"/>
    <col min="13" max="13" width="14.28515625" style="245" bestFit="1" customWidth="1"/>
    <col min="14" max="14" width="4.42578125" style="250" customWidth="1"/>
    <col min="15" max="15" width="52" style="246" customWidth="1"/>
    <col min="16" max="16" width="9.140625" style="246"/>
    <col min="17" max="17" width="10.28515625" style="246" bestFit="1" customWidth="1"/>
    <col min="18" max="16384" width="9.140625" style="246"/>
  </cols>
  <sheetData>
    <row r="1" spans="1:14" x14ac:dyDescent="0.25">
      <c r="A1" s="245" t="s">
        <v>166</v>
      </c>
      <c r="E1" s="670">
        <v>20211112</v>
      </c>
    </row>
    <row r="2" spans="1:14" ht="15.75" thickBot="1" x14ac:dyDescent="0.3">
      <c r="A2" s="252"/>
    </row>
    <row r="3" spans="1:14" x14ac:dyDescent="0.25">
      <c r="A3" s="740" t="s">
        <v>167</v>
      </c>
      <c r="B3" s="741"/>
      <c r="C3" s="741"/>
      <c r="D3" s="741"/>
      <c r="E3" s="742"/>
    </row>
    <row r="4" spans="1:14" x14ac:dyDescent="0.25">
      <c r="A4" s="743"/>
      <c r="B4" s="744"/>
      <c r="C4" s="744"/>
      <c r="D4" s="744"/>
      <c r="E4" s="745"/>
    </row>
    <row r="5" spans="1:14" x14ac:dyDescent="0.25">
      <c r="A5" s="743"/>
      <c r="B5" s="744"/>
      <c r="C5" s="744"/>
      <c r="D5" s="744"/>
      <c r="E5" s="745"/>
    </row>
    <row r="6" spans="1:14" x14ac:dyDescent="0.25">
      <c r="A6" s="743"/>
      <c r="B6" s="744"/>
      <c r="C6" s="744"/>
      <c r="D6" s="744"/>
      <c r="E6" s="745"/>
    </row>
    <row r="7" spans="1:14" x14ac:dyDescent="0.25">
      <c r="A7" s="743"/>
      <c r="B7" s="744"/>
      <c r="C7" s="744"/>
      <c r="D7" s="744"/>
      <c r="E7" s="745"/>
    </row>
    <row r="8" spans="1:14" x14ac:dyDescent="0.25">
      <c r="A8" s="743"/>
      <c r="B8" s="744"/>
      <c r="C8" s="744"/>
      <c r="D8" s="744"/>
      <c r="E8" s="745"/>
    </row>
    <row r="9" spans="1:14" x14ac:dyDescent="0.25">
      <c r="A9" s="743"/>
      <c r="B9" s="744"/>
      <c r="C9" s="744"/>
      <c r="D9" s="744"/>
      <c r="E9" s="745"/>
    </row>
    <row r="10" spans="1:14" ht="15.75" thickBot="1" x14ac:dyDescent="0.3">
      <c r="A10" s="746"/>
      <c r="B10" s="747"/>
      <c r="C10" s="747"/>
      <c r="D10" s="747"/>
      <c r="E10" s="748"/>
    </row>
    <row r="11" spans="1:14" x14ac:dyDescent="0.25">
      <c r="A11" s="620"/>
      <c r="B11" s="620"/>
      <c r="C11" s="620"/>
      <c r="D11" s="620"/>
      <c r="E11" s="620"/>
    </row>
    <row r="12" spans="1:14" ht="18" customHeight="1" thickBot="1" x14ac:dyDescent="0.3">
      <c r="A12" s="245" t="s">
        <v>168</v>
      </c>
      <c r="B12" s="249"/>
      <c r="C12" s="249"/>
      <c r="D12" s="249"/>
      <c r="E12" s="249"/>
      <c r="F12" s="249"/>
      <c r="G12" s="249"/>
      <c r="H12" s="249"/>
      <c r="I12" s="249"/>
      <c r="J12" s="249"/>
      <c r="K12" s="249"/>
      <c r="L12" s="249"/>
      <c r="M12" s="249"/>
    </row>
    <row r="13" spans="1:14" ht="18" customHeight="1" thickBot="1" x14ac:dyDescent="0.3">
      <c r="A13" s="756"/>
      <c r="B13" s="757"/>
      <c r="C13" s="757"/>
      <c r="D13" s="757"/>
      <c r="E13" s="757"/>
      <c r="F13" s="758"/>
      <c r="G13" s="248"/>
      <c r="H13" s="248"/>
      <c r="I13" s="248"/>
      <c r="J13" s="248"/>
      <c r="K13" s="251"/>
      <c r="L13" s="252"/>
      <c r="M13" s="246"/>
      <c r="N13" s="246"/>
    </row>
    <row r="14" spans="1:14" ht="18" customHeight="1" x14ac:dyDescent="0.25">
      <c r="A14" s="245"/>
      <c r="B14" s="245"/>
      <c r="C14" s="245"/>
      <c r="D14" s="245"/>
      <c r="E14" s="245"/>
      <c r="F14" s="245"/>
      <c r="G14" s="248"/>
      <c r="H14" s="248"/>
      <c r="I14" s="248"/>
      <c r="J14" s="248"/>
      <c r="K14" s="251"/>
      <c r="L14" s="252"/>
      <c r="M14" s="246"/>
      <c r="N14" s="246"/>
    </row>
    <row r="15" spans="1:14" ht="18" customHeight="1" x14ac:dyDescent="0.25">
      <c r="A15" s="245" t="s">
        <v>169</v>
      </c>
      <c r="B15" s="456">
        <v>44713</v>
      </c>
      <c r="C15" s="245"/>
      <c r="D15" s="245"/>
      <c r="E15" s="252" t="s">
        <v>170</v>
      </c>
      <c r="F15" s="245"/>
      <c r="G15" s="248"/>
      <c r="H15" s="248"/>
      <c r="I15" s="248"/>
      <c r="J15" s="248"/>
      <c r="K15" s="251"/>
      <c r="L15" s="252"/>
      <c r="M15" s="246"/>
      <c r="N15" s="246"/>
    </row>
    <row r="16" spans="1:14" ht="18" customHeight="1" x14ac:dyDescent="0.25">
      <c r="A16" s="245"/>
      <c r="B16" s="457" t="s">
        <v>171</v>
      </c>
      <c r="C16" s="457" t="s">
        <v>172</v>
      </c>
      <c r="D16" s="245"/>
      <c r="E16" s="245"/>
      <c r="F16" s="245"/>
      <c r="H16" s="246"/>
      <c r="J16" s="246"/>
      <c r="L16" s="252"/>
      <c r="M16" s="246"/>
      <c r="N16" s="246"/>
    </row>
    <row r="17" spans="1:14" ht="18" customHeight="1" x14ac:dyDescent="0.25">
      <c r="A17" s="245" t="s">
        <v>173</v>
      </c>
      <c r="B17" s="458">
        <v>0.03</v>
      </c>
      <c r="C17" s="458">
        <v>0.03</v>
      </c>
      <c r="D17" s="245"/>
      <c r="E17" s="245"/>
      <c r="F17" s="245"/>
      <c r="H17" s="246"/>
      <c r="J17" s="246"/>
      <c r="L17" s="252"/>
      <c r="M17" s="246"/>
      <c r="N17" s="246"/>
    </row>
    <row r="18" spans="1:14" ht="18" customHeight="1" x14ac:dyDescent="0.25">
      <c r="A18" s="245" t="s">
        <v>174</v>
      </c>
      <c r="B18" s="458">
        <v>0.03</v>
      </c>
      <c r="C18" s="458">
        <v>0.03</v>
      </c>
      <c r="D18" s="245"/>
      <c r="E18" s="245"/>
      <c r="F18" s="245"/>
      <c r="H18" s="246"/>
      <c r="J18" s="246"/>
      <c r="L18" s="252"/>
      <c r="M18" s="246"/>
      <c r="N18" s="246"/>
    </row>
    <row r="19" spans="1:14" ht="18" customHeight="1" x14ac:dyDescent="0.25">
      <c r="A19" s="245" t="s">
        <v>22</v>
      </c>
      <c r="B19" s="459">
        <v>0.25</v>
      </c>
      <c r="C19" s="634"/>
      <c r="D19" s="245"/>
      <c r="E19" s="252"/>
      <c r="H19" s="246"/>
      <c r="J19" s="246"/>
      <c r="L19" s="246"/>
      <c r="M19" s="246"/>
      <c r="N19" s="246"/>
    </row>
    <row r="20" spans="1:14" ht="18" customHeight="1" x14ac:dyDescent="0.25">
      <c r="A20" s="245"/>
      <c r="B20" s="634"/>
      <c r="C20" s="634"/>
      <c r="D20" s="245"/>
      <c r="E20" s="252"/>
      <c r="H20" s="246"/>
      <c r="J20" s="246"/>
      <c r="L20" s="246"/>
      <c r="M20" s="246"/>
      <c r="N20" s="246"/>
    </row>
    <row r="21" spans="1:14" ht="18" customHeight="1" x14ac:dyDescent="0.25">
      <c r="A21" s="755" t="s">
        <v>175</v>
      </c>
      <c r="B21" s="755"/>
      <c r="C21" s="755"/>
      <c r="D21" s="755"/>
      <c r="E21" s="252"/>
      <c r="H21" s="246"/>
      <c r="J21" s="246"/>
      <c r="L21" s="246"/>
      <c r="M21" s="246"/>
      <c r="N21" s="246"/>
    </row>
    <row r="22" spans="1:14" ht="18" customHeight="1" thickBot="1" x14ac:dyDescent="0.3">
      <c r="A22" s="245"/>
      <c r="B22" s="635"/>
      <c r="C22" s="635"/>
      <c r="D22" s="477"/>
      <c r="E22" s="252"/>
      <c r="H22" s="246"/>
      <c r="J22" s="246"/>
      <c r="L22" s="246"/>
      <c r="M22" s="246"/>
      <c r="N22" s="246"/>
    </row>
    <row r="23" spans="1:14" ht="18" customHeight="1" thickBot="1" x14ac:dyDescent="0.25">
      <c r="A23" s="460" t="s">
        <v>176</v>
      </c>
      <c r="B23" s="461" t="s">
        <v>20</v>
      </c>
      <c r="C23" s="461" t="s">
        <v>21</v>
      </c>
      <c r="D23" s="462" t="s">
        <v>27</v>
      </c>
      <c r="E23" s="251"/>
      <c r="H23" s="246"/>
      <c r="J23" s="246"/>
      <c r="L23" s="246"/>
      <c r="M23" s="246"/>
      <c r="N23" s="246"/>
    </row>
    <row r="24" spans="1:14" ht="18" customHeight="1" x14ac:dyDescent="0.2">
      <c r="A24" s="503" t="s">
        <v>30</v>
      </c>
      <c r="B24" s="463"/>
      <c r="C24" s="464"/>
      <c r="D24" s="465"/>
      <c r="E24" s="759" t="s">
        <v>177</v>
      </c>
      <c r="F24" s="760"/>
      <c r="H24" s="246"/>
      <c r="J24" s="246"/>
      <c r="L24" s="246"/>
      <c r="M24" s="246"/>
      <c r="N24" s="246"/>
    </row>
    <row r="25" spans="1:14" ht="18" customHeight="1" x14ac:dyDescent="0.2">
      <c r="A25" s="493" t="s">
        <v>32</v>
      </c>
      <c r="B25" s="463"/>
      <c r="C25" s="467"/>
      <c r="D25" s="468"/>
      <c r="E25" s="759"/>
      <c r="F25" s="760"/>
      <c r="H25" s="246"/>
      <c r="J25" s="246"/>
      <c r="L25" s="246"/>
      <c r="M25" s="246"/>
      <c r="N25" s="246"/>
    </row>
    <row r="26" spans="1:14" ht="18" customHeight="1" x14ac:dyDescent="0.2">
      <c r="A26" s="493" t="s">
        <v>34</v>
      </c>
      <c r="B26" s="463"/>
      <c r="C26" s="467"/>
      <c r="D26" s="468"/>
      <c r="E26" s="759"/>
      <c r="F26" s="760"/>
      <c r="H26" s="246"/>
      <c r="J26" s="246"/>
      <c r="L26" s="246"/>
      <c r="M26" s="246"/>
      <c r="N26" s="246"/>
    </row>
    <row r="27" spans="1:14" ht="18" customHeight="1" x14ac:dyDescent="0.2">
      <c r="A27" s="493" t="s">
        <v>36</v>
      </c>
      <c r="B27" s="463"/>
      <c r="C27" s="467"/>
      <c r="D27" s="468"/>
      <c r="E27" s="759"/>
      <c r="F27" s="760"/>
      <c r="H27" s="246"/>
      <c r="J27" s="246"/>
      <c r="L27" s="246"/>
      <c r="M27" s="246"/>
      <c r="N27" s="246"/>
    </row>
    <row r="28" spans="1:14" ht="18" customHeight="1" x14ac:dyDescent="0.2">
      <c r="A28" s="493" t="s">
        <v>37</v>
      </c>
      <c r="B28" s="463"/>
      <c r="C28" s="467"/>
      <c r="D28" s="468"/>
      <c r="E28" s="759"/>
      <c r="F28" s="760"/>
      <c r="H28" s="246"/>
      <c r="J28" s="246"/>
      <c r="L28" s="246"/>
      <c r="M28" s="246"/>
      <c r="N28" s="246"/>
    </row>
    <row r="29" spans="1:14" ht="18" customHeight="1" x14ac:dyDescent="0.2">
      <c r="A29" s="493" t="s">
        <v>38</v>
      </c>
      <c r="B29" s="463"/>
      <c r="C29" s="467"/>
      <c r="D29" s="468"/>
      <c r="E29" s="759"/>
      <c r="F29" s="760"/>
      <c r="H29" s="246"/>
      <c r="J29" s="246"/>
      <c r="L29" s="246"/>
      <c r="M29" s="246"/>
      <c r="N29" s="246"/>
    </row>
    <row r="30" spans="1:14" ht="18" customHeight="1" x14ac:dyDescent="0.2">
      <c r="A30" s="493" t="s">
        <v>39</v>
      </c>
      <c r="B30" s="463"/>
      <c r="C30" s="467"/>
      <c r="D30" s="468"/>
      <c r="E30" s="759"/>
      <c r="F30" s="760"/>
      <c r="H30" s="246"/>
      <c r="J30" s="246"/>
      <c r="L30" s="246"/>
      <c r="M30" s="246"/>
      <c r="N30" s="246"/>
    </row>
    <row r="31" spans="1:14" ht="18" customHeight="1" x14ac:dyDescent="0.2">
      <c r="A31" s="493" t="s">
        <v>40</v>
      </c>
      <c r="B31" s="463"/>
      <c r="C31" s="467"/>
      <c r="D31" s="468"/>
      <c r="E31" s="759"/>
      <c r="F31" s="760"/>
      <c r="H31" s="246"/>
      <c r="J31" s="246"/>
      <c r="L31" s="246"/>
      <c r="M31" s="246"/>
      <c r="N31" s="246"/>
    </row>
    <row r="32" spans="1:14" ht="18" customHeight="1" x14ac:dyDescent="0.2">
      <c r="A32" s="493" t="s">
        <v>41</v>
      </c>
      <c r="B32" s="469"/>
      <c r="C32" s="467"/>
      <c r="D32" s="468"/>
      <c r="E32" s="759"/>
      <c r="F32" s="760"/>
      <c r="H32" s="246"/>
      <c r="J32" s="246"/>
      <c r="L32" s="246"/>
      <c r="M32" s="246"/>
      <c r="N32" s="246"/>
    </row>
    <row r="33" spans="1:14" ht="18" customHeight="1" x14ac:dyDescent="0.2">
      <c r="A33" s="493" t="s">
        <v>42</v>
      </c>
      <c r="B33" s="469"/>
      <c r="C33" s="467"/>
      <c r="D33" s="468"/>
      <c r="E33" s="759"/>
      <c r="F33" s="760"/>
      <c r="H33" s="246"/>
      <c r="J33" s="246"/>
      <c r="L33" s="246"/>
      <c r="M33" s="246"/>
      <c r="N33" s="246"/>
    </row>
    <row r="34" spans="1:14" ht="18" customHeight="1" x14ac:dyDescent="0.2">
      <c r="A34" s="493" t="s">
        <v>43</v>
      </c>
      <c r="B34" s="469"/>
      <c r="C34" s="467"/>
      <c r="D34" s="468"/>
      <c r="E34" s="759"/>
      <c r="F34" s="760"/>
      <c r="H34" s="246"/>
      <c r="J34" s="246"/>
      <c r="L34" s="246"/>
      <c r="M34" s="246"/>
      <c r="N34" s="246"/>
    </row>
    <row r="35" spans="1:14" ht="18" customHeight="1" x14ac:dyDescent="0.2">
      <c r="A35" s="493" t="s">
        <v>178</v>
      </c>
      <c r="B35" s="470"/>
      <c r="C35" s="538"/>
      <c r="D35" s="655"/>
      <c r="E35" s="252" t="s">
        <v>170</v>
      </c>
      <c r="F35" s="253"/>
      <c r="H35" s="246"/>
      <c r="J35" s="246"/>
      <c r="L35" s="246"/>
      <c r="M35" s="246"/>
      <c r="N35" s="246"/>
    </row>
    <row r="36" spans="1:14" ht="18" customHeight="1" x14ac:dyDescent="0.2">
      <c r="A36" s="493" t="s">
        <v>44</v>
      </c>
      <c r="B36" s="469"/>
      <c r="C36" s="467"/>
      <c r="D36" s="468"/>
      <c r="E36" s="759" t="s">
        <v>177</v>
      </c>
      <c r="F36" s="760"/>
      <c r="H36" s="246"/>
      <c r="J36" s="246"/>
      <c r="L36" s="246"/>
      <c r="M36" s="246"/>
      <c r="N36" s="246"/>
    </row>
    <row r="37" spans="1:14" ht="18" customHeight="1" x14ac:dyDescent="0.2">
      <c r="A37" s="493" t="s">
        <v>179</v>
      </c>
      <c r="B37" s="469"/>
      <c r="C37" s="467"/>
      <c r="D37" s="468"/>
      <c r="E37" s="759"/>
      <c r="F37" s="760"/>
      <c r="H37" s="246"/>
      <c r="J37" s="246"/>
      <c r="L37" s="246"/>
      <c r="M37" s="246"/>
      <c r="N37" s="246"/>
    </row>
    <row r="38" spans="1:14" ht="18" customHeight="1" x14ac:dyDescent="0.2">
      <c r="A38" s="493" t="s">
        <v>46</v>
      </c>
      <c r="B38" s="469"/>
      <c r="C38" s="467"/>
      <c r="D38" s="468"/>
      <c r="E38" s="759"/>
      <c r="F38" s="760"/>
      <c r="H38" s="246"/>
      <c r="J38" s="246"/>
      <c r="L38" s="246"/>
      <c r="M38" s="246"/>
      <c r="N38" s="246"/>
    </row>
    <row r="39" spans="1:14" ht="18" customHeight="1" x14ac:dyDescent="0.2">
      <c r="A39" s="493" t="s">
        <v>47</v>
      </c>
      <c r="B39" s="469"/>
      <c r="C39" s="467"/>
      <c r="D39" s="468"/>
      <c r="E39" s="759"/>
      <c r="F39" s="760"/>
      <c r="H39" s="246"/>
      <c r="J39" s="246"/>
      <c r="L39" s="246"/>
      <c r="M39" s="246"/>
      <c r="N39" s="246"/>
    </row>
    <row r="40" spans="1:14" ht="18" customHeight="1" x14ac:dyDescent="0.2">
      <c r="A40" s="493" t="s">
        <v>48</v>
      </c>
      <c r="B40" s="469"/>
      <c r="C40" s="467"/>
      <c r="D40" s="468"/>
      <c r="E40" s="759"/>
      <c r="F40" s="760"/>
      <c r="H40" s="246"/>
      <c r="J40" s="246"/>
      <c r="L40" s="246"/>
      <c r="M40" s="246"/>
      <c r="N40" s="246"/>
    </row>
    <row r="41" spans="1:14" ht="18" customHeight="1" x14ac:dyDescent="0.2">
      <c r="A41" s="493" t="s">
        <v>49</v>
      </c>
      <c r="B41" s="469"/>
      <c r="C41" s="467"/>
      <c r="D41" s="468"/>
      <c r="E41" s="759"/>
      <c r="F41" s="760"/>
      <c r="H41" s="246"/>
      <c r="J41" s="246"/>
      <c r="L41" s="246"/>
      <c r="M41" s="246"/>
      <c r="N41" s="246"/>
    </row>
    <row r="42" spans="1:14" ht="18" customHeight="1" x14ac:dyDescent="0.2">
      <c r="A42" s="493" t="s">
        <v>50</v>
      </c>
      <c r="B42" s="469"/>
      <c r="C42" s="467"/>
      <c r="D42" s="468"/>
      <c r="E42" s="759"/>
      <c r="F42" s="760"/>
      <c r="H42" s="246"/>
      <c r="J42" s="246"/>
      <c r="L42" s="246"/>
      <c r="M42" s="246"/>
      <c r="N42" s="246"/>
    </row>
    <row r="43" spans="1:14" ht="18" customHeight="1" x14ac:dyDescent="0.2">
      <c r="A43" s="493" t="s">
        <v>51</v>
      </c>
      <c r="B43" s="469"/>
      <c r="C43" s="467"/>
      <c r="D43" s="468"/>
      <c r="E43" s="759"/>
      <c r="F43" s="760"/>
      <c r="H43" s="246"/>
      <c r="J43" s="246"/>
      <c r="L43" s="246"/>
      <c r="M43" s="246"/>
      <c r="N43" s="246"/>
    </row>
    <row r="44" spans="1:14" ht="18" customHeight="1" x14ac:dyDescent="0.2">
      <c r="A44" s="493" t="s">
        <v>52</v>
      </c>
      <c r="B44" s="469"/>
      <c r="C44" s="467"/>
      <c r="D44" s="468"/>
      <c r="E44" s="759"/>
      <c r="F44" s="760"/>
      <c r="H44" s="246"/>
      <c r="J44" s="246"/>
      <c r="L44" s="246"/>
      <c r="M44" s="246"/>
      <c r="N44" s="246"/>
    </row>
    <row r="45" spans="1:14" ht="18" customHeight="1" thickBot="1" x14ac:dyDescent="0.25">
      <c r="A45" s="627" t="s">
        <v>53</v>
      </c>
      <c r="B45" s="456"/>
      <c r="C45" s="472"/>
      <c r="D45" s="473"/>
      <c r="E45" s="759"/>
      <c r="F45" s="760"/>
      <c r="H45" s="246"/>
      <c r="J45" s="246"/>
      <c r="L45" s="246"/>
      <c r="M45" s="246"/>
      <c r="N45" s="246"/>
    </row>
    <row r="46" spans="1:14" ht="18" customHeight="1" thickBot="1" x14ac:dyDescent="0.3">
      <c r="A46" s="474" t="s">
        <v>180</v>
      </c>
      <c r="B46" s="475"/>
      <c r="C46" s="636"/>
      <c r="D46" s="476"/>
      <c r="E46" s="672"/>
      <c r="F46" s="673"/>
      <c r="G46" s="251"/>
      <c r="H46" s="254"/>
      <c r="J46" s="246"/>
      <c r="L46" s="246"/>
      <c r="M46" s="246"/>
      <c r="N46" s="246"/>
    </row>
    <row r="47" spans="1:14" ht="18" customHeight="1" thickBot="1" x14ac:dyDescent="0.3">
      <c r="A47" s="477"/>
      <c r="B47" s="478"/>
      <c r="C47" s="479"/>
      <c r="D47" s="479"/>
      <c r="E47" s="255"/>
      <c r="F47" s="256"/>
      <c r="G47" s="251"/>
      <c r="H47" s="254"/>
      <c r="J47" s="246"/>
      <c r="L47" s="246"/>
      <c r="M47" s="246"/>
      <c r="N47" s="246"/>
    </row>
    <row r="48" spans="1:14" ht="18" customHeight="1" thickBot="1" x14ac:dyDescent="0.3">
      <c r="A48" s="616" t="s">
        <v>181</v>
      </c>
      <c r="B48" s="461" t="s">
        <v>20</v>
      </c>
      <c r="C48" s="480" t="s">
        <v>21</v>
      </c>
      <c r="D48" s="462" t="s">
        <v>127</v>
      </c>
      <c r="E48" s="255"/>
      <c r="F48" s="256"/>
      <c r="G48" s="251"/>
      <c r="H48" s="254"/>
      <c r="J48" s="246"/>
      <c r="L48" s="246"/>
      <c r="M48" s="246"/>
      <c r="N48" s="246"/>
    </row>
    <row r="49" spans="1:14" ht="18" customHeight="1" x14ac:dyDescent="0.25">
      <c r="A49" s="481" t="s">
        <v>54</v>
      </c>
      <c r="B49" s="463"/>
      <c r="C49" s="464"/>
      <c r="D49" s="465"/>
      <c r="E49" s="759" t="s">
        <v>177</v>
      </c>
      <c r="F49" s="760"/>
      <c r="G49" s="251"/>
      <c r="H49" s="254"/>
      <c r="J49" s="246"/>
      <c r="L49" s="246"/>
      <c r="M49" s="246"/>
      <c r="N49" s="246"/>
    </row>
    <row r="50" spans="1:14" ht="18" customHeight="1" x14ac:dyDescent="0.25">
      <c r="A50" s="482" t="s">
        <v>128</v>
      </c>
      <c r="B50" s="469"/>
      <c r="C50" s="467"/>
      <c r="D50" s="483"/>
      <c r="E50" s="759"/>
      <c r="F50" s="760"/>
      <c r="G50" s="251"/>
      <c r="H50" s="254"/>
      <c r="J50" s="246"/>
      <c r="L50" s="246"/>
      <c r="M50" s="246"/>
      <c r="N50" s="246"/>
    </row>
    <row r="51" spans="1:14" ht="18" customHeight="1" x14ac:dyDescent="0.25">
      <c r="A51" s="482" t="s">
        <v>130</v>
      </c>
      <c r="B51" s="469"/>
      <c r="C51" s="467"/>
      <c r="D51" s="483"/>
      <c r="E51" s="759"/>
      <c r="F51" s="760"/>
      <c r="G51" s="251"/>
      <c r="H51" s="254"/>
      <c r="J51" s="246"/>
      <c r="L51" s="246"/>
      <c r="M51" s="246"/>
      <c r="N51" s="246"/>
    </row>
    <row r="52" spans="1:14" ht="18" customHeight="1" x14ac:dyDescent="0.25">
      <c r="A52" s="466"/>
      <c r="B52" s="469"/>
      <c r="C52" s="467"/>
      <c r="D52" s="483"/>
      <c r="E52" s="759"/>
      <c r="F52" s="760"/>
      <c r="G52" s="251"/>
      <c r="H52" s="254"/>
      <c r="J52" s="246"/>
      <c r="L52" s="246"/>
      <c r="M52" s="246"/>
      <c r="N52" s="246"/>
    </row>
    <row r="53" spans="1:14" ht="18" customHeight="1" x14ac:dyDescent="0.25">
      <c r="A53" s="466"/>
      <c r="B53" s="469"/>
      <c r="C53" s="467"/>
      <c r="D53" s="483"/>
      <c r="E53" s="759"/>
      <c r="F53" s="760"/>
      <c r="G53" s="251"/>
      <c r="H53" s="254"/>
      <c r="J53" s="246"/>
      <c r="L53" s="246"/>
      <c r="M53" s="246"/>
      <c r="N53" s="246"/>
    </row>
    <row r="54" spans="1:14" ht="18" customHeight="1" thickBot="1" x14ac:dyDescent="0.3">
      <c r="A54" s="471"/>
      <c r="B54" s="456"/>
      <c r="C54" s="484"/>
      <c r="D54" s="485"/>
      <c r="E54" s="759"/>
      <c r="F54" s="760"/>
      <c r="G54" s="251"/>
      <c r="H54" s="254"/>
      <c r="J54" s="246"/>
      <c r="L54" s="246"/>
      <c r="M54" s="246"/>
      <c r="N54" s="246"/>
    </row>
    <row r="55" spans="1:14" ht="18" customHeight="1" thickBot="1" x14ac:dyDescent="0.3">
      <c r="A55" s="474" t="s">
        <v>182</v>
      </c>
      <c r="B55" s="475"/>
      <c r="C55" s="636"/>
      <c r="D55" s="637"/>
      <c r="E55" s="255"/>
      <c r="F55" s="256"/>
      <c r="G55" s="251"/>
      <c r="H55" s="254"/>
      <c r="J55" s="246"/>
      <c r="L55" s="246"/>
      <c r="M55" s="246"/>
      <c r="N55" s="246"/>
    </row>
    <row r="56" spans="1:14" ht="18" customHeight="1" x14ac:dyDescent="0.25">
      <c r="B56" s="638"/>
      <c r="C56" s="639"/>
      <c r="D56" s="476"/>
      <c r="E56" s="255"/>
      <c r="F56" s="256"/>
      <c r="G56" s="251"/>
      <c r="H56" s="254"/>
      <c r="J56" s="246"/>
      <c r="L56" s="246"/>
      <c r="M56" s="246"/>
      <c r="N56" s="246"/>
    </row>
    <row r="57" spans="1:14" ht="18" customHeight="1" thickBot="1" x14ac:dyDescent="0.3">
      <c r="A57" s="486" t="s">
        <v>183</v>
      </c>
      <c r="B57" s="487"/>
      <c r="C57" s="488"/>
      <c r="D57" s="489"/>
      <c r="E57" s="247"/>
      <c r="F57" s="247"/>
      <c r="G57" s="247"/>
      <c r="H57" s="247"/>
      <c r="I57" s="247"/>
      <c r="J57" s="255"/>
      <c r="K57" s="247"/>
      <c r="L57" s="257"/>
      <c r="M57" s="256"/>
      <c r="N57" s="251"/>
    </row>
    <row r="58" spans="1:14" ht="18" customHeight="1" x14ac:dyDescent="0.25">
      <c r="A58" s="490" t="s">
        <v>184</v>
      </c>
      <c r="B58" s="491"/>
      <c r="C58" s="617">
        <v>2000</v>
      </c>
      <c r="D58" s="492" t="s">
        <v>62</v>
      </c>
      <c r="E58" s="759" t="s">
        <v>185</v>
      </c>
      <c r="F58" s="760"/>
      <c r="H58" s="246"/>
      <c r="J58" s="246"/>
      <c r="L58" s="246"/>
      <c r="M58" s="246"/>
      <c r="N58" s="246"/>
    </row>
    <row r="59" spans="1:14" ht="18" customHeight="1" x14ac:dyDescent="0.2">
      <c r="A59" s="493" t="s">
        <v>64</v>
      </c>
      <c r="B59" s="494" t="s">
        <v>65</v>
      </c>
      <c r="C59" s="495">
        <v>389.55</v>
      </c>
      <c r="D59" s="496" t="s">
        <v>62</v>
      </c>
      <c r="E59" s="759"/>
      <c r="F59" s="760"/>
      <c r="H59" s="246"/>
      <c r="J59" s="246"/>
      <c r="L59" s="246"/>
      <c r="M59" s="246"/>
      <c r="N59" s="246"/>
    </row>
    <row r="60" spans="1:14" ht="18" customHeight="1" x14ac:dyDescent="0.2">
      <c r="A60" s="493" t="s">
        <v>66</v>
      </c>
      <c r="B60" s="497" t="s">
        <v>67</v>
      </c>
      <c r="C60" s="495">
        <v>55</v>
      </c>
      <c r="D60" s="496" t="s">
        <v>62</v>
      </c>
      <c r="E60" s="759"/>
      <c r="F60" s="760"/>
      <c r="H60" s="246"/>
      <c r="J60" s="246"/>
      <c r="L60" s="246"/>
      <c r="M60" s="246"/>
      <c r="N60" s="246"/>
    </row>
    <row r="61" spans="1:14" ht="18" customHeight="1" x14ac:dyDescent="0.2">
      <c r="A61" s="493" t="s">
        <v>68</v>
      </c>
      <c r="B61" s="497" t="s">
        <v>186</v>
      </c>
      <c r="C61" s="495">
        <v>750</v>
      </c>
      <c r="D61" s="496" t="s">
        <v>62</v>
      </c>
      <c r="E61" s="759"/>
      <c r="F61" s="760"/>
      <c r="H61" s="246"/>
      <c r="J61" s="246"/>
      <c r="L61" s="246"/>
      <c r="M61" s="246"/>
      <c r="N61" s="246"/>
    </row>
    <row r="62" spans="1:14" ht="18" customHeight="1" x14ac:dyDescent="0.2">
      <c r="A62" s="493" t="s">
        <v>70</v>
      </c>
      <c r="B62" s="497" t="s">
        <v>67</v>
      </c>
      <c r="C62" s="495">
        <v>71.400000000000006</v>
      </c>
      <c r="D62" s="496" t="s">
        <v>62</v>
      </c>
      <c r="E62" s="759"/>
      <c r="F62" s="760"/>
      <c r="H62" s="246"/>
      <c r="J62" s="246"/>
      <c r="L62" s="246"/>
      <c r="M62" s="246"/>
      <c r="N62" s="246"/>
    </row>
    <row r="63" spans="1:14" ht="18" customHeight="1" x14ac:dyDescent="0.2">
      <c r="A63" s="493" t="s">
        <v>71</v>
      </c>
      <c r="B63" s="497" t="s">
        <v>67</v>
      </c>
      <c r="C63" s="495">
        <v>6</v>
      </c>
      <c r="D63" s="496" t="s">
        <v>62</v>
      </c>
      <c r="E63" s="759"/>
      <c r="F63" s="760"/>
      <c r="H63" s="246"/>
      <c r="J63" s="246"/>
      <c r="L63" s="246"/>
      <c r="M63" s="246"/>
      <c r="N63" s="246"/>
    </row>
    <row r="64" spans="1:14" ht="18" customHeight="1" x14ac:dyDescent="0.2">
      <c r="A64" s="493" t="s">
        <v>72</v>
      </c>
      <c r="B64" s="497" t="s">
        <v>69</v>
      </c>
      <c r="C64" s="495">
        <v>0</v>
      </c>
      <c r="D64" s="496" t="s">
        <v>69</v>
      </c>
      <c r="E64" s="759"/>
      <c r="F64" s="760"/>
      <c r="H64" s="246"/>
      <c r="J64" s="246"/>
      <c r="L64" s="246"/>
      <c r="M64" s="246"/>
      <c r="N64" s="246"/>
    </row>
    <row r="65" spans="1:14" ht="18" customHeight="1" x14ac:dyDescent="0.2">
      <c r="A65" s="493" t="s">
        <v>187</v>
      </c>
      <c r="B65" s="497" t="s">
        <v>65</v>
      </c>
      <c r="C65" s="498">
        <v>540</v>
      </c>
      <c r="D65" s="496" t="s">
        <v>62</v>
      </c>
      <c r="E65" s="759"/>
      <c r="F65" s="760"/>
      <c r="H65" s="246"/>
      <c r="J65" s="246"/>
      <c r="L65" s="246"/>
      <c r="M65" s="246"/>
      <c r="N65" s="246"/>
    </row>
    <row r="66" spans="1:14" ht="18" customHeight="1" x14ac:dyDescent="0.2">
      <c r="A66" s="493" t="s">
        <v>188</v>
      </c>
      <c r="B66" s="497"/>
      <c r="C66" s="498"/>
      <c r="D66" s="496" t="s">
        <v>62</v>
      </c>
      <c r="E66" s="759"/>
      <c r="F66" s="760"/>
      <c r="H66" s="246"/>
      <c r="J66" s="246"/>
      <c r="L66" s="246"/>
      <c r="M66" s="246"/>
      <c r="N66" s="246"/>
    </row>
    <row r="67" spans="1:14" ht="18" customHeight="1" x14ac:dyDescent="0.2">
      <c r="A67" s="493" t="s">
        <v>75</v>
      </c>
      <c r="B67" s="497" t="s">
        <v>76</v>
      </c>
      <c r="C67" s="498">
        <v>432.6</v>
      </c>
      <c r="D67" s="496" t="s">
        <v>77</v>
      </c>
      <c r="E67" s="759"/>
      <c r="F67" s="760"/>
      <c r="H67" s="246"/>
      <c r="J67" s="246"/>
      <c r="L67" s="246"/>
      <c r="M67" s="246"/>
      <c r="N67" s="246"/>
    </row>
    <row r="68" spans="1:14" ht="18" customHeight="1" x14ac:dyDescent="0.2">
      <c r="A68" s="493" t="s">
        <v>189</v>
      </c>
      <c r="B68" s="499"/>
      <c r="C68" s="495"/>
      <c r="D68" s="496" t="s">
        <v>62</v>
      </c>
      <c r="E68" s="759"/>
      <c r="F68" s="760"/>
      <c r="H68" s="246"/>
      <c r="J68" s="246"/>
      <c r="L68" s="246"/>
      <c r="M68" s="246"/>
      <c r="N68" s="246"/>
    </row>
    <row r="69" spans="1:14" ht="18" customHeight="1" x14ac:dyDescent="0.2">
      <c r="A69" s="493" t="s">
        <v>190</v>
      </c>
      <c r="B69" s="499"/>
      <c r="C69" s="495"/>
      <c r="D69" s="496" t="s">
        <v>62</v>
      </c>
      <c r="E69" s="759"/>
      <c r="F69" s="760"/>
      <c r="H69" s="246"/>
      <c r="J69" s="246"/>
      <c r="L69" s="246"/>
      <c r="M69" s="246"/>
      <c r="N69" s="246"/>
    </row>
    <row r="70" spans="1:14" ht="18" customHeight="1" x14ac:dyDescent="0.2">
      <c r="A70" s="493" t="s">
        <v>78</v>
      </c>
      <c r="B70" s="497" t="s">
        <v>65</v>
      </c>
      <c r="C70" s="498">
        <v>540.75</v>
      </c>
      <c r="D70" s="496" t="s">
        <v>62</v>
      </c>
      <c r="E70" s="759"/>
      <c r="F70" s="760"/>
      <c r="H70" s="246"/>
      <c r="J70" s="246"/>
      <c r="L70" s="246"/>
      <c r="M70" s="246"/>
      <c r="N70" s="246"/>
    </row>
    <row r="71" spans="1:14" ht="18" customHeight="1" x14ac:dyDescent="0.2">
      <c r="A71" s="493" t="s">
        <v>80</v>
      </c>
      <c r="B71" s="499" t="s">
        <v>81</v>
      </c>
      <c r="C71" s="500">
        <v>20</v>
      </c>
      <c r="D71" s="501">
        <v>0.57499999999999996</v>
      </c>
      <c r="E71" s="251"/>
      <c r="H71" s="246"/>
      <c r="J71" s="246"/>
      <c r="L71" s="246"/>
      <c r="M71" s="246"/>
      <c r="N71" s="246"/>
    </row>
    <row r="72" spans="1:14" ht="18" customHeight="1" thickBot="1" x14ac:dyDescent="0.3">
      <c r="A72" s="618" t="s">
        <v>191</v>
      </c>
      <c r="B72" s="502"/>
      <c r="C72" s="488"/>
      <c r="D72" s="619"/>
      <c r="E72" s="251"/>
      <c r="H72" s="246"/>
      <c r="J72" s="246"/>
      <c r="L72" s="246"/>
      <c r="M72" s="246"/>
      <c r="N72" s="246"/>
    </row>
    <row r="73" spans="1:14" ht="18" customHeight="1" x14ac:dyDescent="0.25">
      <c r="A73" s="503" t="s">
        <v>98</v>
      </c>
      <c r="B73" s="504" t="s">
        <v>99</v>
      </c>
      <c r="C73" s="495">
        <v>2000</v>
      </c>
      <c r="D73" s="496" t="s">
        <v>100</v>
      </c>
      <c r="E73" s="505"/>
      <c r="F73" s="258"/>
      <c r="G73" s="255"/>
      <c r="H73" s="258"/>
      <c r="I73" s="255"/>
      <c r="J73" s="258"/>
      <c r="K73" s="255"/>
      <c r="L73" s="256"/>
      <c r="M73" s="251"/>
      <c r="N73" s="246"/>
    </row>
    <row r="74" spans="1:14" ht="18" customHeight="1" x14ac:dyDescent="0.25">
      <c r="A74" s="493" t="s">
        <v>192</v>
      </c>
      <c r="B74" s="497" t="s">
        <v>65</v>
      </c>
      <c r="C74" s="495">
        <v>600</v>
      </c>
      <c r="D74" s="506" t="s">
        <v>100</v>
      </c>
      <c r="E74" s="505"/>
      <c r="F74" s="258"/>
      <c r="G74" s="255"/>
      <c r="H74" s="258"/>
      <c r="I74" s="255"/>
      <c r="J74" s="258"/>
      <c r="K74" s="255"/>
      <c r="L74" s="256"/>
      <c r="M74" s="251"/>
      <c r="N74" s="253"/>
    </row>
    <row r="75" spans="1:14" ht="18" customHeight="1" x14ac:dyDescent="0.25">
      <c r="A75" s="493" t="s">
        <v>193</v>
      </c>
      <c r="B75" s="497" t="s">
        <v>65</v>
      </c>
      <c r="C75" s="495">
        <v>500</v>
      </c>
      <c r="D75" s="506"/>
      <c r="E75" s="505"/>
      <c r="F75" s="258"/>
      <c r="G75" s="255"/>
      <c r="H75" s="258"/>
      <c r="I75" s="255"/>
      <c r="J75" s="258"/>
      <c r="K75" s="255"/>
      <c r="L75" s="256"/>
      <c r="M75" s="251"/>
      <c r="N75" s="253"/>
    </row>
    <row r="76" spans="1:14" ht="18" customHeight="1" x14ac:dyDescent="0.25">
      <c r="A76" s="493"/>
      <c r="B76" s="499"/>
      <c r="C76" s="658" t="s">
        <v>194</v>
      </c>
      <c r="D76" s="657" t="s">
        <v>195</v>
      </c>
      <c r="E76" s="657" t="s">
        <v>172</v>
      </c>
      <c r="F76" s="258"/>
      <c r="G76" s="255"/>
      <c r="H76" s="258"/>
      <c r="I76" s="255"/>
      <c r="J76" s="258"/>
      <c r="K76" s="255"/>
      <c r="L76" s="256"/>
      <c r="M76" s="251"/>
      <c r="N76" s="246"/>
    </row>
    <row r="77" spans="1:14" ht="18" customHeight="1" x14ac:dyDescent="0.25">
      <c r="A77" s="493" t="s">
        <v>104</v>
      </c>
      <c r="B77" s="499" t="s">
        <v>97</v>
      </c>
      <c r="C77" s="495">
        <v>1830</v>
      </c>
      <c r="D77" s="674">
        <f t="shared" ref="D77:E77" si="0">C77*(1+B$18)</f>
        <v>1884.9</v>
      </c>
      <c r="E77" s="674">
        <f t="shared" si="0"/>
        <v>1941.4470000000001</v>
      </c>
      <c r="F77" s="258"/>
      <c r="G77" s="255"/>
      <c r="H77" s="258"/>
      <c r="I77" s="255"/>
      <c r="J77" s="258"/>
      <c r="K77" s="255"/>
      <c r="L77" s="256"/>
      <c r="M77" s="251"/>
      <c r="N77" s="246"/>
    </row>
    <row r="78" spans="1:14" ht="18" customHeight="1" x14ac:dyDescent="0.25">
      <c r="A78" s="493" t="s">
        <v>105</v>
      </c>
      <c r="B78" s="499" t="s">
        <v>92</v>
      </c>
      <c r="C78" s="656">
        <v>1730</v>
      </c>
      <c r="D78" s="674">
        <f t="shared" ref="D78:E78" si="1">C78*(1+B$18)</f>
        <v>1781.9</v>
      </c>
      <c r="E78" s="674">
        <f t="shared" si="1"/>
        <v>1835.3570000000002</v>
      </c>
      <c r="F78" s="258"/>
      <c r="G78" s="255"/>
      <c r="H78" s="258"/>
      <c r="I78" s="255"/>
      <c r="J78" s="258"/>
      <c r="K78" s="255"/>
      <c r="L78" s="256"/>
      <c r="M78" s="251"/>
      <c r="N78" s="246"/>
    </row>
    <row r="79" spans="1:14" ht="18" customHeight="1" x14ac:dyDescent="0.25">
      <c r="A79" s="493" t="s">
        <v>106</v>
      </c>
      <c r="B79" s="499" t="s">
        <v>97</v>
      </c>
      <c r="C79" s="507">
        <v>1430</v>
      </c>
      <c r="D79" s="508">
        <f>C79*(1+B18)</f>
        <v>1472.9</v>
      </c>
      <c r="E79" s="508">
        <f>D79*(1+C18)</f>
        <v>1517.0870000000002</v>
      </c>
      <c r="F79" s="258"/>
      <c r="G79" s="255"/>
      <c r="H79" s="258"/>
      <c r="I79" s="255"/>
      <c r="J79" s="258"/>
      <c r="K79" s="255"/>
      <c r="L79" s="256"/>
      <c r="M79" s="251"/>
      <c r="N79" s="246"/>
    </row>
    <row r="80" spans="1:14" ht="18" customHeight="1" x14ac:dyDescent="0.25">
      <c r="A80" s="493" t="s">
        <v>107</v>
      </c>
      <c r="B80" s="509" t="s">
        <v>97</v>
      </c>
      <c r="C80" s="510">
        <v>600</v>
      </c>
      <c r="D80" s="511">
        <v>67</v>
      </c>
      <c r="E80" s="512">
        <v>69</v>
      </c>
      <c r="F80" s="258"/>
      <c r="G80" s="255"/>
      <c r="H80" s="258"/>
      <c r="I80" s="255"/>
      <c r="J80" s="258"/>
      <c r="K80" s="255"/>
      <c r="L80" s="256"/>
      <c r="M80" s="251"/>
      <c r="N80" s="253"/>
    </row>
    <row r="81" spans="1:14" ht="18" customHeight="1" x14ac:dyDescent="0.25">
      <c r="A81" s="493" t="s">
        <v>196</v>
      </c>
      <c r="B81" s="509" t="s">
        <v>97</v>
      </c>
      <c r="C81" s="510">
        <v>350</v>
      </c>
      <c r="D81" s="511">
        <v>0</v>
      </c>
      <c r="E81" s="512">
        <v>0</v>
      </c>
      <c r="F81" s="258"/>
      <c r="G81" s="255"/>
      <c r="H81" s="258"/>
      <c r="I81" s="255"/>
      <c r="J81" s="258"/>
      <c r="K81" s="255"/>
      <c r="L81" s="256"/>
      <c r="M81" s="251"/>
      <c r="N81" s="253"/>
    </row>
    <row r="82" spans="1:14" ht="18" customHeight="1" x14ac:dyDescent="0.25">
      <c r="A82" s="493" t="s">
        <v>110</v>
      </c>
      <c r="B82" s="499" t="s">
        <v>109</v>
      </c>
      <c r="C82" s="495">
        <v>3135</v>
      </c>
      <c r="D82" s="513">
        <v>0</v>
      </c>
      <c r="E82" s="514">
        <v>0</v>
      </c>
      <c r="F82" s="258"/>
      <c r="G82" s="255"/>
      <c r="H82" s="258"/>
      <c r="I82" s="255"/>
      <c r="J82" s="258"/>
      <c r="K82" s="255"/>
      <c r="L82" s="256"/>
      <c r="M82" s="251"/>
      <c r="N82" s="253"/>
    </row>
    <row r="83" spans="1:14" ht="18" customHeight="1" thickBot="1" x14ac:dyDescent="0.3">
      <c r="A83" s="515" t="s">
        <v>111</v>
      </c>
      <c r="B83" s="516" t="s">
        <v>109</v>
      </c>
      <c r="C83" s="517">
        <v>1119.95</v>
      </c>
      <c r="D83" s="518">
        <v>0</v>
      </c>
      <c r="E83" s="519">
        <v>0</v>
      </c>
      <c r="F83" s="258"/>
      <c r="G83" s="255"/>
      <c r="H83" s="258"/>
      <c r="I83" s="255"/>
      <c r="J83" s="258"/>
      <c r="K83" s="255"/>
      <c r="L83" s="256"/>
      <c r="M83" s="251"/>
      <c r="N83" s="253"/>
    </row>
    <row r="84" spans="1:14" ht="18" customHeight="1" thickBot="1" x14ac:dyDescent="0.3">
      <c r="A84" s="520" t="s">
        <v>197</v>
      </c>
      <c r="B84" s="521"/>
      <c r="C84" s="522"/>
      <c r="D84" s="640"/>
      <c r="E84" s="258"/>
      <c r="F84" s="258"/>
      <c r="G84" s="255"/>
      <c r="H84" s="258"/>
      <c r="I84" s="255"/>
      <c r="J84" s="258"/>
      <c r="K84" s="255"/>
      <c r="L84" s="256"/>
      <c r="M84" s="251"/>
      <c r="N84" s="253"/>
    </row>
    <row r="85" spans="1:14" ht="18" customHeight="1" x14ac:dyDescent="0.25">
      <c r="B85" s="259"/>
      <c r="C85" s="259"/>
      <c r="D85" s="259"/>
      <c r="E85" s="259"/>
      <c r="F85" s="259"/>
      <c r="G85" s="259"/>
      <c r="H85" s="260"/>
      <c r="I85" s="259"/>
      <c r="J85" s="260"/>
      <c r="K85" s="259"/>
      <c r="L85" s="260"/>
    </row>
    <row r="86" spans="1:14" ht="36.950000000000003" customHeight="1" thickBot="1" x14ac:dyDescent="0.3">
      <c r="A86" s="749" t="s">
        <v>198</v>
      </c>
      <c r="B86" s="750"/>
      <c r="C86" s="750"/>
      <c r="D86" s="750"/>
      <c r="E86" s="750"/>
      <c r="H86" s="246"/>
      <c r="J86" s="246"/>
      <c r="L86" s="246"/>
      <c r="M86" s="246"/>
      <c r="N86" s="251"/>
    </row>
    <row r="87" spans="1:14" ht="18" customHeight="1" thickBot="1" x14ac:dyDescent="0.3">
      <c r="A87" s="523" t="s">
        <v>154</v>
      </c>
      <c r="B87" s="524"/>
      <c r="C87" s="461" t="s">
        <v>194</v>
      </c>
      <c r="D87" s="461" t="s">
        <v>195</v>
      </c>
      <c r="E87" s="461" t="s">
        <v>172</v>
      </c>
      <c r="F87" s="257"/>
      <c r="G87" s="247"/>
      <c r="H87" s="257"/>
      <c r="I87" s="247"/>
      <c r="J87" s="257"/>
      <c r="K87" s="247"/>
      <c r="L87" s="251"/>
      <c r="M87" s="753"/>
      <c r="N87" s="246"/>
    </row>
    <row r="88" spans="1:14" ht="18" customHeight="1" x14ac:dyDescent="0.25">
      <c r="A88" s="659" t="s">
        <v>14</v>
      </c>
      <c r="B88" s="535"/>
      <c r="C88" s="660">
        <v>0</v>
      </c>
      <c r="D88" s="660">
        <v>0</v>
      </c>
      <c r="E88" s="661">
        <v>0</v>
      </c>
      <c r="F88" s="526"/>
      <c r="G88" s="261"/>
      <c r="H88" s="262"/>
      <c r="I88" s="261"/>
      <c r="J88" s="262"/>
      <c r="K88" s="245"/>
      <c r="L88" s="250"/>
      <c r="M88" s="754"/>
      <c r="N88" s="246"/>
    </row>
    <row r="89" spans="1:14" ht="18" customHeight="1" x14ac:dyDescent="0.25">
      <c r="A89" s="527" t="s">
        <v>15</v>
      </c>
      <c r="B89" s="499"/>
      <c r="C89" s="525">
        <v>0</v>
      </c>
      <c r="D89" s="525">
        <v>0</v>
      </c>
      <c r="E89" s="662">
        <v>0</v>
      </c>
      <c r="F89" s="263"/>
      <c r="G89" s="261"/>
      <c r="H89" s="262"/>
      <c r="I89" s="261"/>
      <c r="J89" s="262"/>
      <c r="K89" s="245"/>
      <c r="L89" s="250"/>
      <c r="M89" s="754"/>
      <c r="N89" s="246"/>
    </row>
    <row r="90" spans="1:14" ht="18" customHeight="1" x14ac:dyDescent="0.25">
      <c r="A90" s="527" t="s">
        <v>16</v>
      </c>
      <c r="B90" s="499"/>
      <c r="C90" s="525">
        <v>0</v>
      </c>
      <c r="D90" s="525">
        <v>0</v>
      </c>
      <c r="E90" s="662">
        <v>0</v>
      </c>
      <c r="F90" s="263"/>
      <c r="G90" s="261"/>
      <c r="H90" s="262"/>
      <c r="I90" s="261"/>
      <c r="J90" s="262"/>
      <c r="K90" s="245"/>
      <c r="L90" s="250"/>
      <c r="M90" s="246"/>
      <c r="N90" s="246"/>
    </row>
    <row r="91" spans="1:14" ht="18" customHeight="1" thickBot="1" x14ac:dyDescent="0.3">
      <c r="A91" s="528" t="s">
        <v>17</v>
      </c>
      <c r="B91" s="516"/>
      <c r="C91" s="663">
        <v>0</v>
      </c>
      <c r="D91" s="663">
        <v>0</v>
      </c>
      <c r="E91" s="664">
        <v>0</v>
      </c>
      <c r="F91" s="263"/>
      <c r="K91" s="245"/>
      <c r="L91" s="251"/>
      <c r="M91" s="264"/>
      <c r="N91" s="246"/>
    </row>
    <row r="92" spans="1:14" ht="18" customHeight="1" x14ac:dyDescent="0.25">
      <c r="A92" s="675" t="s">
        <v>161</v>
      </c>
      <c r="B92" s="487"/>
      <c r="C92" s="487"/>
      <c r="D92" s="487"/>
      <c r="E92" s="487"/>
      <c r="F92" s="251"/>
      <c r="H92" s="246"/>
      <c r="J92" s="246"/>
      <c r="L92" s="246"/>
      <c r="M92" s="246"/>
      <c r="N92" s="246"/>
    </row>
    <row r="93" spans="1:14" ht="18" customHeight="1" x14ac:dyDescent="0.2">
      <c r="A93" s="529" t="s">
        <v>104</v>
      </c>
      <c r="B93" s="499" t="s">
        <v>97</v>
      </c>
      <c r="C93" s="495">
        <f t="shared" ref="C93:E94" si="2">+C77</f>
        <v>1830</v>
      </c>
      <c r="D93" s="495">
        <f t="shared" si="2"/>
        <v>1884.9</v>
      </c>
      <c r="E93" s="676">
        <f t="shared" si="2"/>
        <v>1941.4470000000001</v>
      </c>
      <c r="F93" s="251"/>
      <c r="H93" s="246"/>
      <c r="J93" s="246"/>
      <c r="L93" s="246"/>
      <c r="M93" s="246"/>
      <c r="N93" s="246"/>
    </row>
    <row r="94" spans="1:14" ht="18" customHeight="1" x14ac:dyDescent="0.2">
      <c r="A94" s="529" t="s">
        <v>105</v>
      </c>
      <c r="B94" s="499" t="s">
        <v>92</v>
      </c>
      <c r="C94" s="495">
        <f t="shared" si="2"/>
        <v>1730</v>
      </c>
      <c r="D94" s="495">
        <f t="shared" si="2"/>
        <v>1781.9</v>
      </c>
      <c r="E94" s="676">
        <f t="shared" si="2"/>
        <v>1835.3570000000002</v>
      </c>
      <c r="F94" s="251"/>
      <c r="H94" s="246"/>
      <c r="J94" s="246"/>
      <c r="L94" s="246"/>
      <c r="M94" s="246"/>
      <c r="N94" s="246"/>
    </row>
    <row r="95" spans="1:14" ht="18" customHeight="1" thickBot="1" x14ac:dyDescent="0.25">
      <c r="A95" s="530" t="s">
        <v>106</v>
      </c>
      <c r="B95" s="516" t="s">
        <v>97</v>
      </c>
      <c r="C95" s="518">
        <v>1430</v>
      </c>
      <c r="D95" s="518">
        <v>1473</v>
      </c>
      <c r="E95" s="519">
        <v>1517</v>
      </c>
      <c r="F95" s="251"/>
      <c r="H95" s="246"/>
      <c r="J95" s="246"/>
      <c r="L95" s="246"/>
      <c r="M95" s="246"/>
      <c r="N95" s="246"/>
    </row>
    <row r="96" spans="1:14" ht="18" customHeight="1" thickBot="1" x14ac:dyDescent="0.3">
      <c r="A96" s="520" t="s">
        <v>199</v>
      </c>
      <c r="B96" s="641">
        <v>0</v>
      </c>
      <c r="C96" s="668"/>
    </row>
    <row r="97" spans="1:14" ht="18" customHeight="1" thickBot="1" x14ac:dyDescent="0.3">
      <c r="A97" s="531"/>
      <c r="B97" s="531"/>
    </row>
    <row r="98" spans="1:14" ht="18" customHeight="1" thickBot="1" x14ac:dyDescent="0.3">
      <c r="A98" s="532" t="s">
        <v>200</v>
      </c>
      <c r="B98" s="533"/>
      <c r="C98" s="534" t="str">
        <f>C87</f>
        <v>Year 1</v>
      </c>
      <c r="D98" s="461" t="s">
        <v>195</v>
      </c>
      <c r="E98" s="462" t="s">
        <v>172</v>
      </c>
    </row>
    <row r="99" spans="1:14" ht="18" customHeight="1" x14ac:dyDescent="0.25">
      <c r="A99" s="490" t="s">
        <v>201</v>
      </c>
      <c r="B99" s="535" t="s">
        <v>202</v>
      </c>
      <c r="C99" s="665"/>
      <c r="D99" s="665"/>
      <c r="E99" s="666"/>
      <c r="G99" s="263"/>
      <c r="H99" s="246"/>
      <c r="I99" s="263"/>
      <c r="J99" s="246"/>
      <c r="K99" s="263"/>
      <c r="L99" s="245"/>
      <c r="M99" s="250"/>
      <c r="N99" s="246"/>
    </row>
    <row r="100" spans="1:14" ht="18" customHeight="1" x14ac:dyDescent="0.25">
      <c r="A100" s="493" t="s">
        <v>139</v>
      </c>
      <c r="B100" s="499"/>
      <c r="C100" s="513">
        <v>1430</v>
      </c>
      <c r="D100" s="513">
        <f>(C100*B17)+C100</f>
        <v>1472.9</v>
      </c>
      <c r="E100" s="514">
        <f>(D100*C18)+D100</f>
        <v>1517.087</v>
      </c>
      <c r="G100" s="263"/>
      <c r="H100" s="246"/>
      <c r="I100" s="263"/>
      <c r="J100" s="246"/>
      <c r="K100" s="263"/>
      <c r="L100" s="245"/>
      <c r="M100" s="250"/>
      <c r="N100" s="246"/>
    </row>
    <row r="101" spans="1:14" ht="18" customHeight="1" x14ac:dyDescent="0.25">
      <c r="A101" s="493" t="s">
        <v>146</v>
      </c>
      <c r="B101" s="499"/>
      <c r="C101" s="536">
        <v>412</v>
      </c>
      <c r="D101" s="536">
        <f>(C101*B18)+C101</f>
        <v>424.36</v>
      </c>
      <c r="E101" s="667">
        <f>(D101*C18)+D101</f>
        <v>437.0908</v>
      </c>
      <c r="G101" s="263"/>
      <c r="H101" s="246"/>
      <c r="I101" s="263"/>
      <c r="J101" s="246"/>
      <c r="K101" s="263"/>
      <c r="L101" s="245"/>
      <c r="M101" s="250"/>
      <c r="N101" s="246"/>
    </row>
    <row r="102" spans="1:14" ht="18" customHeight="1" x14ac:dyDescent="0.25">
      <c r="A102" s="493" t="s">
        <v>147</v>
      </c>
      <c r="B102" s="499"/>
      <c r="C102" s="537"/>
      <c r="D102" s="538"/>
      <c r="E102" s="514">
        <v>500</v>
      </c>
      <c r="F102" s="671" t="s">
        <v>148</v>
      </c>
      <c r="G102" s="263"/>
      <c r="H102" s="246"/>
      <c r="I102" s="263"/>
      <c r="J102" s="246"/>
      <c r="K102" s="263"/>
      <c r="L102" s="245"/>
      <c r="M102" s="250"/>
      <c r="N102" s="246"/>
    </row>
    <row r="103" spans="1:14" ht="18" customHeight="1" x14ac:dyDescent="0.25">
      <c r="A103" s="493" t="s">
        <v>203</v>
      </c>
      <c r="B103" s="499"/>
      <c r="C103" s="536"/>
      <c r="D103" s="536"/>
      <c r="E103" s="667"/>
      <c r="G103" s="263"/>
      <c r="H103" s="246"/>
      <c r="I103" s="263"/>
      <c r="J103" s="246"/>
      <c r="K103" s="263"/>
      <c r="L103" s="245"/>
      <c r="M103" s="250"/>
      <c r="N103" s="246"/>
    </row>
    <row r="104" spans="1:14" ht="18" customHeight="1" x14ac:dyDescent="0.25">
      <c r="A104" s="668" t="s">
        <v>204</v>
      </c>
      <c r="B104" s="499"/>
      <c r="C104" s="536"/>
      <c r="D104" s="539"/>
      <c r="E104" s="540"/>
      <c r="G104" s="263"/>
      <c r="H104" s="246"/>
      <c r="I104" s="263"/>
      <c r="J104" s="246"/>
      <c r="K104" s="263"/>
      <c r="L104" s="245"/>
      <c r="M104" s="250"/>
      <c r="N104" s="246"/>
    </row>
    <row r="105" spans="1:14" ht="18" customHeight="1" x14ac:dyDescent="0.25">
      <c r="A105" s="482" t="s">
        <v>149</v>
      </c>
      <c r="B105" s="499"/>
      <c r="C105" s="541"/>
      <c r="D105" s="539"/>
      <c r="E105" s="540"/>
      <c r="G105" s="263"/>
      <c r="H105" s="246"/>
      <c r="I105" s="263"/>
      <c r="J105" s="246"/>
      <c r="K105" s="263"/>
      <c r="L105" s="245"/>
      <c r="M105" s="250"/>
      <c r="N105" s="246"/>
    </row>
    <row r="106" spans="1:14" ht="18" customHeight="1" thickBot="1" x14ac:dyDescent="0.3">
      <c r="A106" s="669" t="s">
        <v>149</v>
      </c>
      <c r="B106" s="516"/>
      <c r="C106" s="542"/>
      <c r="D106" s="543"/>
      <c r="E106" s="544"/>
      <c r="G106" s="263"/>
      <c r="H106" s="246"/>
      <c r="I106" s="263"/>
      <c r="J106" s="246"/>
      <c r="K106" s="263"/>
      <c r="L106" s="245"/>
      <c r="M106" s="250"/>
      <c r="N106" s="246"/>
    </row>
    <row r="107" spans="1:14" ht="18" customHeight="1" thickBot="1" x14ac:dyDescent="0.3">
      <c r="A107" s="520" t="s">
        <v>205</v>
      </c>
      <c r="B107" s="521"/>
      <c r="C107" s="545"/>
      <c r="D107" s="546"/>
      <c r="E107" s="547"/>
      <c r="G107" s="263"/>
      <c r="H107" s="246"/>
      <c r="I107" s="263"/>
      <c r="J107" s="246"/>
      <c r="K107" s="263"/>
      <c r="L107" s="245"/>
      <c r="M107" s="250"/>
      <c r="N107" s="246"/>
    </row>
    <row r="108" spans="1:14" ht="18" customHeight="1" thickBot="1" x14ac:dyDescent="0.3"/>
    <row r="109" spans="1:14" ht="18" customHeight="1" thickBot="1" x14ac:dyDescent="0.3">
      <c r="A109" s="548" t="s">
        <v>117</v>
      </c>
      <c r="B109" s="549"/>
      <c r="C109" s="550" t="s">
        <v>194</v>
      </c>
      <c r="D109" s="551" t="s">
        <v>195</v>
      </c>
      <c r="E109" s="552" t="s">
        <v>172</v>
      </c>
      <c r="F109" s="263"/>
      <c r="K109" s="245"/>
      <c r="L109" s="250"/>
      <c r="M109" s="246"/>
      <c r="N109" s="246"/>
    </row>
    <row r="110" spans="1:14" ht="18" customHeight="1" x14ac:dyDescent="0.25">
      <c r="A110" s="553" t="s">
        <v>118</v>
      </c>
      <c r="B110" s="644"/>
      <c r="C110" s="554">
        <v>0</v>
      </c>
      <c r="D110" s="554">
        <v>0</v>
      </c>
      <c r="E110" s="555">
        <v>0</v>
      </c>
      <c r="F110" s="263"/>
      <c r="K110" s="245"/>
      <c r="L110" s="250"/>
      <c r="M110" s="246"/>
      <c r="N110" s="246"/>
    </row>
    <row r="111" spans="1:14" ht="18" customHeight="1" x14ac:dyDescent="0.25">
      <c r="A111" s="556" t="s">
        <v>120</v>
      </c>
      <c r="B111" s="645"/>
      <c r="C111" s="513">
        <v>0</v>
      </c>
      <c r="D111" s="513">
        <v>0</v>
      </c>
      <c r="E111" s="514">
        <v>0</v>
      </c>
      <c r="F111" s="263"/>
      <c r="K111" s="245"/>
      <c r="L111" s="250"/>
      <c r="M111" s="246"/>
      <c r="N111" s="246"/>
    </row>
    <row r="112" spans="1:14" ht="18" customHeight="1" x14ac:dyDescent="0.25">
      <c r="A112" s="556" t="s">
        <v>66</v>
      </c>
      <c r="B112" s="645"/>
      <c r="C112" s="513">
        <v>0</v>
      </c>
      <c r="D112" s="513">
        <v>0</v>
      </c>
      <c r="E112" s="514">
        <v>0</v>
      </c>
      <c r="F112" s="263"/>
      <c r="K112" s="245"/>
      <c r="L112" s="250"/>
      <c r="M112" s="246"/>
      <c r="N112" s="246"/>
    </row>
    <row r="113" spans="1:14" ht="18" customHeight="1" x14ac:dyDescent="0.25">
      <c r="A113" s="557"/>
      <c r="B113" s="645"/>
      <c r="C113" s="513">
        <v>0</v>
      </c>
      <c r="D113" s="513">
        <v>0</v>
      </c>
      <c r="E113" s="514">
        <v>0</v>
      </c>
      <c r="F113" s="263"/>
      <c r="K113" s="245"/>
      <c r="L113" s="250"/>
      <c r="M113" s="246"/>
      <c r="N113" s="246"/>
    </row>
    <row r="114" spans="1:14" ht="18" customHeight="1" thickBot="1" x14ac:dyDescent="0.3">
      <c r="A114" s="558"/>
      <c r="B114" s="646"/>
      <c r="C114" s="518">
        <v>0</v>
      </c>
      <c r="D114" s="518">
        <v>0</v>
      </c>
      <c r="E114" s="519">
        <v>0</v>
      </c>
      <c r="F114" s="263"/>
      <c r="K114" s="245"/>
      <c r="L114" s="250"/>
      <c r="M114" s="246"/>
      <c r="N114" s="246"/>
    </row>
    <row r="117" spans="1:14" ht="18" x14ac:dyDescent="0.25">
      <c r="A117" s="752" t="s">
        <v>206</v>
      </c>
      <c r="B117" s="752"/>
      <c r="C117" s="752"/>
      <c r="D117" s="752"/>
      <c r="E117" s="752"/>
      <c r="F117" s="752"/>
    </row>
    <row r="119" spans="1:14" x14ac:dyDescent="0.25">
      <c r="A119" s="559" t="s">
        <v>207</v>
      </c>
      <c r="E119" s="560"/>
    </row>
    <row r="120" spans="1:14" ht="16.5" thickBot="1" x14ac:dyDescent="0.3">
      <c r="A120" s="431" t="s">
        <v>208</v>
      </c>
      <c r="D120" s="245" t="s">
        <v>20</v>
      </c>
      <c r="E120" s="245" t="s">
        <v>209</v>
      </c>
      <c r="F120" s="245" t="s">
        <v>23</v>
      </c>
      <c r="G120" s="263"/>
      <c r="H120" s="246"/>
      <c r="I120" s="263"/>
      <c r="J120" s="246"/>
      <c r="K120" s="263"/>
      <c r="L120" s="245"/>
      <c r="M120" s="250"/>
      <c r="N120" s="246"/>
    </row>
    <row r="121" spans="1:14" ht="18" customHeight="1" x14ac:dyDescent="0.25">
      <c r="A121" s="653" t="s">
        <v>210</v>
      </c>
      <c r="B121" s="647"/>
      <c r="C121" s="648"/>
      <c r="D121" s="561"/>
      <c r="E121" s="561"/>
      <c r="F121" s="555"/>
      <c r="G121" s="761" t="s">
        <v>211</v>
      </c>
      <c r="H121" s="762"/>
      <c r="I121" s="762"/>
      <c r="J121" s="246"/>
      <c r="K121" s="263"/>
      <c r="L121" s="245"/>
      <c r="M121" s="250"/>
      <c r="N121" s="246"/>
    </row>
    <row r="122" spans="1:14" ht="18" customHeight="1" x14ac:dyDescent="0.25">
      <c r="A122" s="628" t="s">
        <v>212</v>
      </c>
      <c r="B122" s="649"/>
      <c r="C122" s="650"/>
      <c r="D122" s="562"/>
      <c r="E122" s="562"/>
      <c r="F122" s="514"/>
      <c r="G122" s="761"/>
      <c r="H122" s="762"/>
      <c r="I122" s="762"/>
      <c r="J122" s="246"/>
      <c r="K122" s="263"/>
      <c r="L122" s="245"/>
      <c r="M122" s="250"/>
      <c r="N122" s="246"/>
    </row>
    <row r="123" spans="1:14" ht="18" customHeight="1" x14ac:dyDescent="0.25">
      <c r="A123" s="628" t="s">
        <v>213</v>
      </c>
      <c r="B123" s="649"/>
      <c r="C123" s="650"/>
      <c r="D123" s="562"/>
      <c r="E123" s="562"/>
      <c r="F123" s="514"/>
      <c r="G123" s="761"/>
      <c r="H123" s="762"/>
      <c r="I123" s="762"/>
      <c r="J123" s="246"/>
      <c r="K123" s="263"/>
      <c r="L123" s="245"/>
      <c r="M123" s="250"/>
      <c r="N123" s="246"/>
    </row>
    <row r="124" spans="1:14" ht="18" customHeight="1" x14ac:dyDescent="0.25">
      <c r="A124" s="628" t="s">
        <v>214</v>
      </c>
      <c r="B124" s="649"/>
      <c r="C124" s="650"/>
      <c r="D124" s="562"/>
      <c r="E124" s="562"/>
      <c r="F124" s="514"/>
      <c r="G124" s="761"/>
      <c r="H124" s="762"/>
      <c r="I124" s="762"/>
      <c r="J124" s="246"/>
      <c r="K124" s="263"/>
      <c r="L124" s="245"/>
      <c r="M124" s="250"/>
      <c r="N124" s="246"/>
    </row>
    <row r="125" spans="1:14" ht="18" customHeight="1" x14ac:dyDescent="0.25">
      <c r="A125" s="628" t="s">
        <v>215</v>
      </c>
      <c r="B125" s="649"/>
      <c r="C125" s="650"/>
      <c r="D125" s="562"/>
      <c r="E125" s="562"/>
      <c r="F125" s="514"/>
      <c r="G125" s="761"/>
      <c r="H125" s="762"/>
      <c r="I125" s="762"/>
      <c r="J125" s="246"/>
      <c r="K125" s="263"/>
      <c r="L125" s="245"/>
      <c r="M125" s="250"/>
      <c r="N125" s="246"/>
    </row>
    <row r="126" spans="1:14" ht="18" customHeight="1" x14ac:dyDescent="0.25">
      <c r="A126" s="628" t="s">
        <v>216</v>
      </c>
      <c r="B126" s="649"/>
      <c r="C126" s="650"/>
      <c r="D126" s="562"/>
      <c r="E126" s="562"/>
      <c r="F126" s="514"/>
      <c r="G126" s="761"/>
      <c r="H126" s="762"/>
      <c r="I126" s="762"/>
      <c r="J126" s="246"/>
      <c r="K126" s="263"/>
      <c r="L126" s="245"/>
      <c r="M126" s="250"/>
      <c r="N126" s="246"/>
    </row>
    <row r="127" spans="1:14" ht="18" customHeight="1" x14ac:dyDescent="0.25">
      <c r="A127" s="628" t="s">
        <v>217</v>
      </c>
      <c r="B127" s="649"/>
      <c r="C127" s="650"/>
      <c r="D127" s="562"/>
      <c r="E127" s="562"/>
      <c r="F127" s="514"/>
      <c r="G127" s="761"/>
      <c r="H127" s="762"/>
      <c r="I127" s="762"/>
      <c r="J127" s="246"/>
      <c r="K127" s="263"/>
      <c r="L127" s="245"/>
      <c r="M127" s="250"/>
      <c r="N127" s="246"/>
    </row>
    <row r="128" spans="1:14" ht="18" customHeight="1" x14ac:dyDescent="0.25">
      <c r="A128" s="628" t="s">
        <v>218</v>
      </c>
      <c r="B128" s="649"/>
      <c r="C128" s="650"/>
      <c r="D128" s="562"/>
      <c r="E128" s="562"/>
      <c r="F128" s="514"/>
      <c r="G128" s="761"/>
      <c r="H128" s="762"/>
      <c r="I128" s="762"/>
      <c r="J128" s="246"/>
      <c r="K128" s="263"/>
      <c r="L128" s="245"/>
      <c r="M128" s="250"/>
      <c r="N128" s="246"/>
    </row>
    <row r="129" spans="1:14" ht="18" customHeight="1" x14ac:dyDescent="0.25">
      <c r="A129" s="628" t="s">
        <v>219</v>
      </c>
      <c r="B129" s="649"/>
      <c r="C129" s="650"/>
      <c r="D129" s="562"/>
      <c r="E129" s="562"/>
      <c r="F129" s="514"/>
      <c r="G129" s="761"/>
      <c r="H129" s="762"/>
      <c r="I129" s="762"/>
      <c r="J129" s="246"/>
      <c r="K129" s="263"/>
      <c r="L129" s="245"/>
      <c r="M129" s="250"/>
      <c r="N129" s="246"/>
    </row>
    <row r="130" spans="1:14" ht="18" customHeight="1" thickBot="1" x14ac:dyDescent="0.3">
      <c r="A130" s="654" t="s">
        <v>220</v>
      </c>
      <c r="B130" s="651"/>
      <c r="C130" s="652"/>
      <c r="D130" s="563"/>
      <c r="E130" s="563"/>
      <c r="F130" s="519"/>
      <c r="G130" s="761"/>
      <c r="H130" s="762"/>
      <c r="I130" s="762"/>
      <c r="J130" s="246"/>
      <c r="K130" s="263"/>
      <c r="L130" s="245"/>
      <c r="M130" s="250"/>
      <c r="N130" s="246"/>
    </row>
    <row r="131" spans="1:14" s="245" customFormat="1" ht="18" customHeight="1" thickBot="1" x14ac:dyDescent="0.3">
      <c r="A131" s="564" t="s">
        <v>221</v>
      </c>
      <c r="B131" s="565"/>
      <c r="C131" s="566"/>
      <c r="D131" s="567"/>
      <c r="E131" s="567"/>
      <c r="F131" s="568">
        <f>SUM(F121:F130)</f>
        <v>0</v>
      </c>
      <c r="G131" s="266"/>
      <c r="I131" s="266"/>
      <c r="K131" s="266"/>
      <c r="M131" s="267"/>
    </row>
    <row r="132" spans="1:14" ht="15.75" thickTop="1" x14ac:dyDescent="0.25"/>
    <row r="134" spans="1:14" x14ac:dyDescent="0.25">
      <c r="A134" s="751" t="s">
        <v>222</v>
      </c>
      <c r="B134" s="751"/>
      <c r="C134" s="751"/>
    </row>
    <row r="136" spans="1:14" x14ac:dyDescent="0.25">
      <c r="A136" s="642" t="s">
        <v>223</v>
      </c>
      <c r="B136" s="628">
        <v>25</v>
      </c>
    </row>
    <row r="137" spans="1:14" x14ac:dyDescent="0.25">
      <c r="A137" s="642" t="s">
        <v>224</v>
      </c>
      <c r="B137" s="628">
        <v>9</v>
      </c>
    </row>
    <row r="138" spans="1:14" x14ac:dyDescent="0.25">
      <c r="A138" s="643" t="s">
        <v>225</v>
      </c>
      <c r="B138" s="629">
        <v>0.06</v>
      </c>
    </row>
    <row r="139" spans="1:14" x14ac:dyDescent="0.25">
      <c r="A139" s="642" t="s">
        <v>226</v>
      </c>
      <c r="B139" s="630">
        <v>0.4</v>
      </c>
    </row>
    <row r="140" spans="1:14" x14ac:dyDescent="0.25">
      <c r="A140" s="642" t="s">
        <v>227</v>
      </c>
      <c r="B140" s="631">
        <v>900</v>
      </c>
    </row>
    <row r="141" spans="1:14" x14ac:dyDescent="0.25">
      <c r="A141" s="642" t="s">
        <v>228</v>
      </c>
      <c r="B141" s="631">
        <v>0</v>
      </c>
    </row>
    <row r="146" spans="1:1" x14ac:dyDescent="0.25">
      <c r="A146" s="246" t="s">
        <v>229</v>
      </c>
    </row>
    <row r="147" spans="1:1" x14ac:dyDescent="0.25">
      <c r="A147" s="246" t="s">
        <v>230</v>
      </c>
    </row>
  </sheetData>
  <sheetProtection algorithmName="SHA-512" hashValue="NPEAiR1BaUED95TmOpxNNU0meysY6bgs53nXFP4NqCnkx/ruWBrw90tIkrl6bTXJdJDO/SiJQ8ZIopGsYDtTzQ==" saltValue="ABXJQOpvEtnwySdFxcjA3g==" spinCount="100000" sheet="1" objects="1" scenarios="1"/>
  <mergeCells count="12">
    <mergeCell ref="A3:E10"/>
    <mergeCell ref="A86:E86"/>
    <mergeCell ref="A134:C134"/>
    <mergeCell ref="A117:F117"/>
    <mergeCell ref="M87:M89"/>
    <mergeCell ref="A21:D21"/>
    <mergeCell ref="A13:F13"/>
    <mergeCell ref="E49:F54"/>
    <mergeCell ref="E24:F34"/>
    <mergeCell ref="E36:F45"/>
    <mergeCell ref="E58:F70"/>
    <mergeCell ref="G121:I130"/>
  </mergeCells>
  <phoneticPr fontId="23" type="noConversion"/>
  <dataValidations count="1">
    <dataValidation type="list" allowBlank="1" showInputMessage="1" showErrorMessage="1" sqref="B35" xr:uid="{9E655B7E-07DA-422C-9DA2-D0BA0AA0E9FC}">
      <formula1>$A$146:$A$147</formula1>
    </dataValidation>
  </dataValidations>
  <pageMargins left="0.75" right="0.75" top="0.7" bottom="0.7" header="0.25" footer="0.25"/>
  <pageSetup scale="53" fitToHeight="2" orientation="portrait" r:id="rId1"/>
  <headerFooter alignWithMargins="0">
    <oddFooter>&amp;L&amp;9&amp;F
© Copyright 2016 Nurse-Family Partnership.  All rights reserved.&amp;R&amp;9Printed &amp;D  &amp;T&amp;C&amp;1#&amp;"Calibri"&amp;8&amp;KFF8C00This Document is Internal for Nurse-Family Partnership and Child First. Please only Share with Approved Parties.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5F44-955B-457B-B037-D245294CAFA3}">
  <sheetPr>
    <tabColor rgb="FF92D050"/>
  </sheetPr>
  <dimension ref="A1:K54"/>
  <sheetViews>
    <sheetView workbookViewId="0">
      <pane xSplit="2" ySplit="4" topLeftCell="C26" activePane="bottomRight" state="frozen"/>
      <selection pane="topRight" activeCell="C1" sqref="C1"/>
      <selection pane="bottomLeft" activeCell="A4" sqref="A4"/>
      <selection pane="bottomRight" activeCell="D25" sqref="D25"/>
    </sheetView>
  </sheetViews>
  <sheetFormatPr defaultRowHeight="12.75" x14ac:dyDescent="0.2"/>
  <cols>
    <col min="1" max="1" width="2.85546875" style="113" customWidth="1"/>
    <col min="2" max="2" width="39.5703125" bestFit="1" customWidth="1"/>
    <col min="3" max="3" width="5.7109375" customWidth="1"/>
    <col min="4" max="4" width="13.85546875" bestFit="1" customWidth="1"/>
    <col min="5" max="6" width="12.140625" bestFit="1" customWidth="1"/>
    <col min="7" max="7" width="13.42578125" customWidth="1"/>
    <col min="8" max="8" width="4.140625" customWidth="1"/>
    <col min="10" max="11" width="9.85546875" bestFit="1" customWidth="1"/>
  </cols>
  <sheetData>
    <row r="1" spans="1:11" ht="14.25" x14ac:dyDescent="0.2">
      <c r="A1" s="246" t="s">
        <v>231</v>
      </c>
    </row>
    <row r="2" spans="1:11" x14ac:dyDescent="0.2">
      <c r="A2" s="49"/>
    </row>
    <row r="3" spans="1:11" ht="15.75" x14ac:dyDescent="0.25">
      <c r="A3" s="431">
        <f>Inputs!A13</f>
        <v>0</v>
      </c>
    </row>
    <row r="4" spans="1:11" ht="15.75" x14ac:dyDescent="0.25">
      <c r="D4" s="432">
        <f>Calc!J5</f>
        <v>44713</v>
      </c>
      <c r="E4" s="432">
        <f>Calc!K5</f>
        <v>45078</v>
      </c>
      <c r="F4" s="432">
        <f>Calc!L5</f>
        <v>45444</v>
      </c>
      <c r="G4" s="433" t="str">
        <f>+[1]Calc!M5</f>
        <v>Total</v>
      </c>
      <c r="I4" s="434">
        <f>+D4</f>
        <v>44713</v>
      </c>
      <c r="J4" s="434">
        <f t="shared" ref="J4:K4" si="0">+E4</f>
        <v>45078</v>
      </c>
      <c r="K4" s="434">
        <f t="shared" si="0"/>
        <v>45444</v>
      </c>
    </row>
    <row r="5" spans="1:11" x14ac:dyDescent="0.2">
      <c r="A5" s="113" t="s">
        <v>232</v>
      </c>
    </row>
    <row r="6" spans="1:11" x14ac:dyDescent="0.2">
      <c r="B6" s="49" t="s">
        <v>233</v>
      </c>
      <c r="C6" s="49"/>
      <c r="D6" s="435">
        <f>+Calc!J6</f>
        <v>0</v>
      </c>
      <c r="E6" s="435">
        <f>+Calc!K6</f>
        <v>0</v>
      </c>
      <c r="F6" s="435">
        <f>+Calc!L6</f>
        <v>0</v>
      </c>
    </row>
    <row r="7" spans="1:11" x14ac:dyDescent="0.2">
      <c r="B7" s="49" t="s">
        <v>234</v>
      </c>
      <c r="C7" s="49"/>
      <c r="D7" s="435">
        <f>+Calc!J7</f>
        <v>0</v>
      </c>
      <c r="E7" s="435">
        <f>+Calc!K7</f>
        <v>0</v>
      </c>
      <c r="F7" s="435">
        <f>+Calc!L7</f>
        <v>0</v>
      </c>
    </row>
    <row r="8" spans="1:11" x14ac:dyDescent="0.2">
      <c r="B8" s="49" t="s">
        <v>235</v>
      </c>
      <c r="C8" s="49"/>
      <c r="D8" s="435">
        <f>Calc!J9</f>
        <v>0</v>
      </c>
      <c r="E8" s="435">
        <f>Calc!K9</f>
        <v>0</v>
      </c>
      <c r="F8" s="435">
        <f>Calc!L9</f>
        <v>0</v>
      </c>
    </row>
    <row r="9" spans="1:11" x14ac:dyDescent="0.2">
      <c r="B9" s="49" t="s">
        <v>236</v>
      </c>
      <c r="C9" s="49"/>
      <c r="D9" s="435">
        <f>Calc!J12</f>
        <v>0</v>
      </c>
      <c r="E9" s="435">
        <f>Calc!K12</f>
        <v>0</v>
      </c>
      <c r="F9" s="435">
        <f>Calc!L12</f>
        <v>0</v>
      </c>
    </row>
    <row r="10" spans="1:11" x14ac:dyDescent="0.2">
      <c r="B10" s="49" t="s">
        <v>237</v>
      </c>
      <c r="C10" s="49"/>
      <c r="D10" s="435">
        <f>Calc!J13</f>
        <v>0</v>
      </c>
      <c r="E10" s="435">
        <f>Calc!K13</f>
        <v>0</v>
      </c>
      <c r="F10" s="435">
        <f>Calc!L13</f>
        <v>0</v>
      </c>
    </row>
    <row r="11" spans="1:11" x14ac:dyDescent="0.2">
      <c r="B11" s="49"/>
      <c r="C11" s="49"/>
      <c r="D11" s="436"/>
      <c r="E11" s="436"/>
      <c r="F11" s="436"/>
    </row>
    <row r="13" spans="1:11" x14ac:dyDescent="0.2">
      <c r="A13" s="622" t="s">
        <v>238</v>
      </c>
      <c r="B13" s="623"/>
      <c r="C13" s="623"/>
      <c r="D13" s="624">
        <f>+Calc!J167</f>
        <v>0</v>
      </c>
      <c r="E13" s="624">
        <f>+Calc!K167</f>
        <v>0</v>
      </c>
      <c r="F13" s="624">
        <f>+Calc!L167</f>
        <v>0</v>
      </c>
      <c r="G13" s="625">
        <f>SUM(D13:F13)</f>
        <v>0</v>
      </c>
    </row>
    <row r="15" spans="1:11" x14ac:dyDescent="0.2">
      <c r="A15" s="113" t="s">
        <v>239</v>
      </c>
    </row>
    <row r="16" spans="1:11" x14ac:dyDescent="0.2">
      <c r="B16" s="49" t="s">
        <v>176</v>
      </c>
      <c r="C16" s="49"/>
      <c r="D16" s="316">
        <f>Calc!J38</f>
        <v>0</v>
      </c>
      <c r="E16" s="316">
        <f>Calc!K38</f>
        <v>0</v>
      </c>
      <c r="F16" s="316">
        <f>Calc!L38</f>
        <v>0</v>
      </c>
      <c r="G16" s="31">
        <f>SUM(D16:F16)</f>
        <v>0</v>
      </c>
      <c r="I16" s="437">
        <f>+D16/D$37</f>
        <v>0</v>
      </c>
      <c r="J16" s="437">
        <f t="shared" ref="J16:K19" si="1">+E16/E$37</f>
        <v>0</v>
      </c>
      <c r="K16" s="437">
        <f t="shared" si="1"/>
        <v>0</v>
      </c>
    </row>
    <row r="17" spans="2:11" x14ac:dyDescent="0.2">
      <c r="B17" s="49" t="s">
        <v>240</v>
      </c>
      <c r="C17" s="49"/>
      <c r="D17" s="316">
        <f>Calc!J109</f>
        <v>0</v>
      </c>
      <c r="E17" s="316">
        <f>Calc!K109</f>
        <v>0</v>
      </c>
      <c r="F17" s="316">
        <f>Calc!L109</f>
        <v>0</v>
      </c>
      <c r="G17" s="31">
        <f t="shared" ref="G17:G18" si="2">SUM(D17:F17)</f>
        <v>0</v>
      </c>
      <c r="I17" s="437">
        <f t="shared" ref="I17:I19" si="3">+D17/D$37</f>
        <v>0</v>
      </c>
      <c r="J17" s="437">
        <f t="shared" si="1"/>
        <v>0</v>
      </c>
      <c r="K17" s="437">
        <f t="shared" si="1"/>
        <v>0</v>
      </c>
    </row>
    <row r="18" spans="2:11" x14ac:dyDescent="0.2">
      <c r="B18" s="49" t="s">
        <v>56</v>
      </c>
      <c r="C18" s="49"/>
      <c r="D18" s="316">
        <f>Calc!J39+Calc!J110</f>
        <v>0</v>
      </c>
      <c r="E18" s="316">
        <f>Calc!K39+Calc!K110</f>
        <v>0</v>
      </c>
      <c r="F18" s="316">
        <f>Calc!L39+Calc!L110</f>
        <v>0</v>
      </c>
      <c r="G18" s="31">
        <f t="shared" si="2"/>
        <v>0</v>
      </c>
      <c r="I18" s="437">
        <f t="shared" si="3"/>
        <v>0</v>
      </c>
      <c r="J18" s="437">
        <f t="shared" si="1"/>
        <v>0</v>
      </c>
      <c r="K18" s="437">
        <f t="shared" si="1"/>
        <v>0</v>
      </c>
    </row>
    <row r="19" spans="2:11" x14ac:dyDescent="0.2">
      <c r="B19" s="49" t="s">
        <v>241</v>
      </c>
      <c r="C19" s="49"/>
      <c r="D19" s="438">
        <f>SUM(D16:D18)</f>
        <v>0</v>
      </c>
      <c r="E19" s="438">
        <f t="shared" ref="E19:G19" si="4">SUM(E16:E18)</f>
        <v>0</v>
      </c>
      <c r="F19" s="438">
        <f t="shared" si="4"/>
        <v>0</v>
      </c>
      <c r="G19" s="438">
        <f t="shared" si="4"/>
        <v>0</v>
      </c>
      <c r="I19" s="439">
        <f t="shared" si="3"/>
        <v>0</v>
      </c>
      <c r="J19" s="439">
        <f t="shared" si="1"/>
        <v>0</v>
      </c>
      <c r="K19" s="439">
        <f t="shared" si="1"/>
        <v>0</v>
      </c>
    </row>
    <row r="20" spans="2:11" x14ac:dyDescent="0.2">
      <c r="D20" s="316"/>
      <c r="E20" s="316"/>
      <c r="F20" s="316"/>
    </row>
    <row r="21" spans="2:11" x14ac:dyDescent="0.2">
      <c r="B21" s="49" t="s">
        <v>242</v>
      </c>
      <c r="C21" s="49"/>
      <c r="D21" s="316">
        <f>+Calc!J60</f>
        <v>2000</v>
      </c>
      <c r="E21" s="316">
        <f>+Calc!K60</f>
        <v>2060</v>
      </c>
      <c r="F21" s="316">
        <f>+Calc!L60</f>
        <v>2121.8000000000002</v>
      </c>
      <c r="G21" s="31">
        <f t="shared" ref="G21:G22" si="5">SUM(D21:F21)</f>
        <v>6181.8</v>
      </c>
      <c r="I21" s="437">
        <f t="shared" ref="I21:K23" si="6">+D21/D$37</f>
        <v>5.068676768708423E-2</v>
      </c>
      <c r="J21" s="437">
        <f t="shared" si="6"/>
        <v>0.82918739635157546</v>
      </c>
      <c r="K21" s="437">
        <f t="shared" si="6"/>
        <v>0.69365012964830264</v>
      </c>
    </row>
    <row r="22" spans="2:11" x14ac:dyDescent="0.2">
      <c r="B22" s="49" t="s">
        <v>56</v>
      </c>
      <c r="C22" s="49"/>
      <c r="D22" s="316">
        <f>+Calc!J61</f>
        <v>0</v>
      </c>
      <c r="E22" s="316">
        <f>+Calc!K61</f>
        <v>0</v>
      </c>
      <c r="F22" s="316">
        <f>+Calc!L61</f>
        <v>0</v>
      </c>
      <c r="G22" s="31">
        <f t="shared" si="5"/>
        <v>0</v>
      </c>
      <c r="I22" s="437">
        <f t="shared" si="6"/>
        <v>0</v>
      </c>
      <c r="J22" s="437">
        <f t="shared" si="6"/>
        <v>0</v>
      </c>
      <c r="K22" s="437">
        <f t="shared" si="6"/>
        <v>0</v>
      </c>
    </row>
    <row r="23" spans="2:11" x14ac:dyDescent="0.2">
      <c r="B23" s="49" t="s">
        <v>243</v>
      </c>
      <c r="C23" s="49"/>
      <c r="D23" s="438">
        <f>SUM(D21:D22)</f>
        <v>2000</v>
      </c>
      <c r="E23" s="438">
        <f t="shared" ref="E23:G23" si="7">SUM(E21:E22)</f>
        <v>2060</v>
      </c>
      <c r="F23" s="438">
        <f t="shared" si="7"/>
        <v>2121.8000000000002</v>
      </c>
      <c r="G23" s="438">
        <f t="shared" si="7"/>
        <v>6181.8</v>
      </c>
      <c r="I23" s="439">
        <f t="shared" si="6"/>
        <v>5.068676768708423E-2</v>
      </c>
      <c r="J23" s="439">
        <f t="shared" si="6"/>
        <v>0.82918739635157546</v>
      </c>
      <c r="K23" s="439">
        <f t="shared" si="6"/>
        <v>0.69365012964830264</v>
      </c>
    </row>
    <row r="24" spans="2:11" x14ac:dyDescent="0.2">
      <c r="D24" s="440"/>
      <c r="E24" s="316"/>
      <c r="F24" s="316"/>
    </row>
    <row r="25" spans="2:11" x14ac:dyDescent="0.2">
      <c r="B25" s="49" t="s">
        <v>244</v>
      </c>
      <c r="C25" s="49"/>
      <c r="D25" s="441">
        <f>+Calc!J85</f>
        <v>37046.03</v>
      </c>
      <c r="E25" s="441">
        <f>+Calc!K85</f>
        <v>0</v>
      </c>
      <c r="F25" s="441">
        <f>+Calc!L85</f>
        <v>0</v>
      </c>
      <c r="G25" s="31">
        <f t="shared" ref="G25:G26" si="8">SUM(D25:F25)</f>
        <v>37046.03</v>
      </c>
      <c r="I25" s="437">
        <f t="shared" ref="I25:K27" si="9">+D25/D$37</f>
        <v>0.9388717581693764</v>
      </c>
      <c r="J25" s="437">
        <f t="shared" si="9"/>
        <v>0</v>
      </c>
      <c r="K25" s="437">
        <f t="shared" si="9"/>
        <v>0</v>
      </c>
    </row>
    <row r="26" spans="2:11" x14ac:dyDescent="0.2">
      <c r="B26" s="49" t="s">
        <v>56</v>
      </c>
      <c r="C26" s="49"/>
      <c r="D26" s="441">
        <f>+Calc!J86</f>
        <v>0</v>
      </c>
      <c r="E26" s="441">
        <f>+Calc!K86</f>
        <v>0</v>
      </c>
      <c r="F26" s="441">
        <f>+Calc!L86</f>
        <v>0</v>
      </c>
      <c r="G26" s="31">
        <f t="shared" si="8"/>
        <v>0</v>
      </c>
      <c r="I26" s="437">
        <f t="shared" si="9"/>
        <v>0</v>
      </c>
      <c r="J26" s="437">
        <f t="shared" si="9"/>
        <v>0</v>
      </c>
      <c r="K26" s="437">
        <f t="shared" si="9"/>
        <v>0</v>
      </c>
    </row>
    <row r="27" spans="2:11" x14ac:dyDescent="0.2">
      <c r="B27" s="49" t="s">
        <v>245</v>
      </c>
      <c r="C27" s="49"/>
      <c r="D27" s="438">
        <f>SUM(D25:D26)</f>
        <v>37046.03</v>
      </c>
      <c r="E27" s="438">
        <f t="shared" ref="E27:G27" si="10">SUM(E25:E26)</f>
        <v>0</v>
      </c>
      <c r="F27" s="438">
        <f t="shared" si="10"/>
        <v>0</v>
      </c>
      <c r="G27" s="438">
        <f t="shared" si="10"/>
        <v>37046.03</v>
      </c>
      <c r="I27" s="439">
        <f t="shared" si="9"/>
        <v>0.9388717581693764</v>
      </c>
      <c r="J27" s="439">
        <f t="shared" si="9"/>
        <v>0</v>
      </c>
      <c r="K27" s="439">
        <f t="shared" si="9"/>
        <v>0</v>
      </c>
    </row>
    <row r="28" spans="2:11" x14ac:dyDescent="0.2">
      <c r="D28" s="316"/>
      <c r="E28" s="316"/>
      <c r="F28" s="316"/>
    </row>
    <row r="29" spans="2:11" x14ac:dyDescent="0.2">
      <c r="B29" s="49" t="s">
        <v>246</v>
      </c>
      <c r="C29" s="49"/>
      <c r="D29" s="442">
        <f>+D19+D23+D27</f>
        <v>39046.03</v>
      </c>
      <c r="E29" s="442">
        <f t="shared" ref="E29:G29" si="11">+E19+E23+E27</f>
        <v>2060</v>
      </c>
      <c r="F29" s="442">
        <f t="shared" si="11"/>
        <v>2121.8000000000002</v>
      </c>
      <c r="G29" s="442">
        <f t="shared" si="11"/>
        <v>43227.83</v>
      </c>
      <c r="I29" s="439">
        <f>+D29/D$37</f>
        <v>0.98955852585646065</v>
      </c>
      <c r="J29" s="439">
        <f t="shared" ref="J29:K29" si="12">+E29/E$37</f>
        <v>0.82918739635157546</v>
      </c>
      <c r="K29" s="439">
        <f t="shared" si="12"/>
        <v>0.69365012964830264</v>
      </c>
    </row>
    <row r="30" spans="2:11" x14ac:dyDescent="0.2">
      <c r="D30" s="316"/>
      <c r="E30" s="316"/>
      <c r="F30" s="316"/>
    </row>
    <row r="31" spans="2:11" x14ac:dyDescent="0.2">
      <c r="B31" s="49" t="s">
        <v>247</v>
      </c>
      <c r="C31" s="49"/>
      <c r="D31" s="316">
        <f>+Calc!J122</f>
        <v>412</v>
      </c>
      <c r="E31" s="316">
        <f>+Calc!K122</f>
        <v>424.36</v>
      </c>
      <c r="F31" s="316">
        <f>+Calc!L122</f>
        <v>937.09079999999994</v>
      </c>
      <c r="G31" s="31">
        <f t="shared" ref="G31:G34" si="13">SUM(D31:F31)</f>
        <v>1773.4508000000001</v>
      </c>
      <c r="I31" s="437">
        <f t="shared" ref="I31:K35" si="14">+D31/D$37</f>
        <v>1.0441474143539351E-2</v>
      </c>
      <c r="J31" s="437">
        <f t="shared" si="14"/>
        <v>0.17081260364842454</v>
      </c>
      <c r="K31" s="437">
        <f t="shared" si="14"/>
        <v>0.30634987035169736</v>
      </c>
    </row>
    <row r="32" spans="2:11" x14ac:dyDescent="0.2">
      <c r="B32" s="49" t="s">
        <v>56</v>
      </c>
      <c r="C32" s="49"/>
      <c r="D32" s="316">
        <f>+Calc!J123</f>
        <v>0</v>
      </c>
      <c r="E32" s="316">
        <f>+Calc!K123</f>
        <v>0</v>
      </c>
      <c r="F32" s="316">
        <f>+Calc!L123</f>
        <v>0</v>
      </c>
      <c r="G32" s="31">
        <f t="shared" si="13"/>
        <v>0</v>
      </c>
      <c r="I32" s="437">
        <f t="shared" si="14"/>
        <v>0</v>
      </c>
      <c r="J32" s="437">
        <f t="shared" si="14"/>
        <v>0</v>
      </c>
      <c r="K32" s="437">
        <f t="shared" si="14"/>
        <v>0</v>
      </c>
    </row>
    <row r="33" spans="1:11" x14ac:dyDescent="0.2">
      <c r="B33" s="49" t="s">
        <v>248</v>
      </c>
      <c r="C33" s="49"/>
      <c r="D33" s="316">
        <f>+Calc!J147</f>
        <v>0</v>
      </c>
      <c r="E33" s="316">
        <f>+Calc!K147</f>
        <v>0</v>
      </c>
      <c r="F33" s="316">
        <f>+Calc!L147</f>
        <v>0</v>
      </c>
      <c r="G33" s="31">
        <f t="shared" si="13"/>
        <v>0</v>
      </c>
      <c r="I33" s="437">
        <f t="shared" si="14"/>
        <v>0</v>
      </c>
      <c r="J33" s="437">
        <f t="shared" si="14"/>
        <v>0</v>
      </c>
      <c r="K33" s="437">
        <f t="shared" si="14"/>
        <v>0</v>
      </c>
    </row>
    <row r="34" spans="1:11" x14ac:dyDescent="0.2">
      <c r="B34" s="49" t="s">
        <v>56</v>
      </c>
      <c r="C34" s="49"/>
      <c r="D34" s="316">
        <f>+Calc!J148</f>
        <v>0</v>
      </c>
      <c r="E34" s="316">
        <f>+Calc!K148</f>
        <v>0</v>
      </c>
      <c r="F34" s="316">
        <f>+Calc!L148</f>
        <v>0</v>
      </c>
      <c r="G34" s="31">
        <f t="shared" si="13"/>
        <v>0</v>
      </c>
      <c r="I34" s="437">
        <f t="shared" si="14"/>
        <v>0</v>
      </c>
      <c r="J34" s="437">
        <f t="shared" si="14"/>
        <v>0</v>
      </c>
      <c r="K34" s="437">
        <f t="shared" si="14"/>
        <v>0</v>
      </c>
    </row>
    <row r="35" spans="1:11" x14ac:dyDescent="0.2">
      <c r="B35" s="49" t="s">
        <v>23</v>
      </c>
      <c r="C35" s="49"/>
      <c r="D35" s="438">
        <f>SUM(D31:D34)</f>
        <v>412</v>
      </c>
      <c r="E35" s="438">
        <f t="shared" ref="E35:G35" si="15">SUM(E31:E34)</f>
        <v>424.36</v>
      </c>
      <c r="F35" s="438">
        <f t="shared" si="15"/>
        <v>937.09079999999994</v>
      </c>
      <c r="G35" s="438">
        <f t="shared" si="15"/>
        <v>1773.4508000000001</v>
      </c>
      <c r="I35" s="439">
        <f t="shared" si="14"/>
        <v>1.0441474143539351E-2</v>
      </c>
      <c r="J35" s="439">
        <f t="shared" si="14"/>
        <v>0.17081260364842454</v>
      </c>
      <c r="K35" s="439">
        <f t="shared" si="14"/>
        <v>0.30634987035169736</v>
      </c>
    </row>
    <row r="36" spans="1:11" x14ac:dyDescent="0.2">
      <c r="D36" s="316"/>
      <c r="E36" s="316"/>
      <c r="F36" s="316"/>
    </row>
    <row r="37" spans="1:11" x14ac:dyDescent="0.2">
      <c r="A37" s="443"/>
      <c r="B37" s="443" t="s">
        <v>249</v>
      </c>
      <c r="C37" s="443"/>
      <c r="D37" s="444">
        <f>+D29+D35</f>
        <v>39458.03</v>
      </c>
      <c r="E37" s="444">
        <f t="shared" ref="E37:G37" si="16">+E29+E35</f>
        <v>2484.36</v>
      </c>
      <c r="F37" s="444">
        <f t="shared" si="16"/>
        <v>3058.8908000000001</v>
      </c>
      <c r="G37" s="444">
        <f t="shared" si="16"/>
        <v>45001.2808</v>
      </c>
      <c r="I37" s="439">
        <f>+D37/D$37</f>
        <v>1</v>
      </c>
      <c r="J37" s="439">
        <f t="shared" ref="J37:K37" si="17">+E37/E$37</f>
        <v>1</v>
      </c>
      <c r="K37" s="439">
        <f t="shared" si="17"/>
        <v>1</v>
      </c>
    </row>
    <row r="38" spans="1:11" x14ac:dyDescent="0.2">
      <c r="D38" s="316"/>
      <c r="E38" s="316"/>
      <c r="F38" s="316"/>
    </row>
    <row r="39" spans="1:11" x14ac:dyDescent="0.2">
      <c r="B39" s="49" t="s">
        <v>250</v>
      </c>
      <c r="C39" s="49"/>
      <c r="D39" s="316">
        <f>Calc!J96</f>
        <v>0</v>
      </c>
      <c r="E39" s="316">
        <f>Calc!K96</f>
        <v>0</v>
      </c>
      <c r="F39" s="316">
        <f>Calc!L96</f>
        <v>0</v>
      </c>
      <c r="G39" s="31">
        <f>SUM(D39:F39)</f>
        <v>0</v>
      </c>
    </row>
    <row r="40" spans="1:11" x14ac:dyDescent="0.2">
      <c r="D40" s="316"/>
      <c r="E40" s="316"/>
      <c r="F40" s="316"/>
    </row>
    <row r="41" spans="1:11" x14ac:dyDescent="0.2">
      <c r="B41" s="49" t="s">
        <v>251</v>
      </c>
      <c r="C41" s="49"/>
      <c r="D41" s="442">
        <f>+D37+D39</f>
        <v>39458.03</v>
      </c>
      <c r="E41" s="442">
        <f t="shared" ref="E41:G41" si="18">+E37+E39</f>
        <v>2484.36</v>
      </c>
      <c r="F41" s="442">
        <f t="shared" si="18"/>
        <v>3058.8908000000001</v>
      </c>
      <c r="G41" s="442">
        <f t="shared" si="18"/>
        <v>45001.2808</v>
      </c>
    </row>
    <row r="42" spans="1:11" x14ac:dyDescent="0.2">
      <c r="D42" s="316"/>
      <c r="E42" s="316"/>
      <c r="F42" s="316"/>
      <c r="G42" s="316"/>
    </row>
    <row r="43" spans="1:11" ht="13.5" thickBot="1" x14ac:dyDescent="0.25">
      <c r="A43" s="445"/>
      <c r="B43" s="445" t="s">
        <v>252</v>
      </c>
      <c r="C43" s="445"/>
      <c r="D43" s="446">
        <f>+D13-D37</f>
        <v>-39458.03</v>
      </c>
      <c r="E43" s="446">
        <f t="shared" ref="E43:G43" si="19">+E13-E37</f>
        <v>-2484.36</v>
      </c>
      <c r="F43" s="446">
        <f t="shared" si="19"/>
        <v>-3058.8908000000001</v>
      </c>
      <c r="G43" s="446">
        <f t="shared" si="19"/>
        <v>-45001.2808</v>
      </c>
    </row>
    <row r="44" spans="1:11" ht="13.5" thickTop="1" x14ac:dyDescent="0.2">
      <c r="D44" s="316"/>
      <c r="E44" s="316"/>
      <c r="F44" s="316"/>
    </row>
    <row r="45" spans="1:11" x14ac:dyDescent="0.2">
      <c r="A45" s="613" t="s">
        <v>253</v>
      </c>
      <c r="B45" s="614"/>
      <c r="C45" s="614"/>
      <c r="D45" s="615"/>
      <c r="E45" s="615"/>
      <c r="F45" s="615"/>
      <c r="G45" s="614"/>
    </row>
    <row r="46" spans="1:11" x14ac:dyDescent="0.2">
      <c r="A46" s="613"/>
      <c r="B46" s="614"/>
      <c r="C46" s="614"/>
      <c r="D46" s="615"/>
      <c r="E46" s="615"/>
      <c r="F46" s="615"/>
      <c r="G46" s="614"/>
    </row>
    <row r="47" spans="1:11" x14ac:dyDescent="0.2">
      <c r="A47" s="113" t="s">
        <v>254</v>
      </c>
      <c r="D47" s="316"/>
      <c r="E47" s="316"/>
      <c r="F47" s="316"/>
    </row>
    <row r="48" spans="1:11" x14ac:dyDescent="0.2">
      <c r="B48" t="s">
        <v>255</v>
      </c>
      <c r="D48" s="316">
        <f>'New NHVs-Enrollment Calcs'!C71</f>
        <v>0</v>
      </c>
      <c r="E48" s="316">
        <f>'New NHVs-Enrollment Calcs'!D71</f>
        <v>0</v>
      </c>
      <c r="F48" s="316">
        <f>'New NHVs-Enrollment Calcs'!E71</f>
        <v>0</v>
      </c>
    </row>
    <row r="49" spans="1:6" x14ac:dyDescent="0.2">
      <c r="B49" t="s">
        <v>256</v>
      </c>
      <c r="D49" s="316">
        <f>'New NHVs-Enrollment Calcs'!C74</f>
        <v>0</v>
      </c>
      <c r="E49" s="316">
        <f>'New NHVs-Enrollment Calcs'!D74</f>
        <v>0</v>
      </c>
      <c r="F49" s="316">
        <f>'New NHVs-Enrollment Calcs'!E74</f>
        <v>0</v>
      </c>
    </row>
    <row r="50" spans="1:6" x14ac:dyDescent="0.2">
      <c r="D50" s="316"/>
      <c r="E50" s="316"/>
      <c r="F50" s="316"/>
    </row>
    <row r="51" spans="1:6" x14ac:dyDescent="0.2">
      <c r="B51" t="s">
        <v>257</v>
      </c>
      <c r="C51" s="626">
        <f>+Inputs!B139</f>
        <v>0.4</v>
      </c>
      <c r="D51" s="316">
        <f>+D49/Inputs!$B$139</f>
        <v>0</v>
      </c>
      <c r="E51" s="316">
        <f>+E49/Inputs!$B$139</f>
        <v>0</v>
      </c>
      <c r="F51" s="316">
        <f>+F49/Inputs!$B$139</f>
        <v>0</v>
      </c>
    </row>
    <row r="53" spans="1:6" x14ac:dyDescent="0.2">
      <c r="A53" s="113" t="s">
        <v>258</v>
      </c>
      <c r="D53" s="316">
        <f>+Inputs!B140</f>
        <v>900</v>
      </c>
      <c r="E53" s="31">
        <f>+D53</f>
        <v>900</v>
      </c>
      <c r="F53" s="31">
        <f>+E53</f>
        <v>900</v>
      </c>
    </row>
    <row r="54" spans="1:6" x14ac:dyDescent="0.2">
      <c r="B54" s="49" t="s">
        <v>259</v>
      </c>
      <c r="D54" s="437">
        <f>+D51/D53</f>
        <v>0</v>
      </c>
      <c r="E54" s="437">
        <f t="shared" ref="E54:F54" si="20">+E51/E53</f>
        <v>0</v>
      </c>
      <c r="F54" s="437">
        <f t="shared" si="20"/>
        <v>0</v>
      </c>
    </row>
  </sheetData>
  <sheetProtection algorithmName="SHA-512" hashValue="8IAToLECqZ4xnGo3R28KnfdnmFPGzGU5R9UvBsMHyrFunzgFztqeI80ho4rdWWHgyYZ2UIspzDxc+0chxa44MA==" saltValue="WyMr3fkAeiucQ47f4ZY5BA==" spinCount="100000" sheet="1" objects="1" scenarios="1"/>
  <pageMargins left="0.7" right="0.7" top="0.75" bottom="0.75" header="0.3" footer="0.3"/>
  <pageSetup orientation="portrait" horizontalDpi="1200" verticalDpi="1200" r:id="rId1"/>
  <headerFooter>
    <oddFooter>&amp;C&amp;1#&amp;"Calibri"&amp;8&amp;KFF8C00This Document is Internal for Nurse-Family Partnership and Child First. Please only Share with Approved Parties.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39997558519241921"/>
  </sheetPr>
  <dimension ref="A1:AE172"/>
  <sheetViews>
    <sheetView showGridLines="0" zoomScaleNormal="100" workbookViewId="0">
      <pane xSplit="9" ySplit="13" topLeftCell="J41" activePane="bottomRight" state="frozen"/>
      <selection pane="topRight" activeCell="J1" sqref="J1"/>
      <selection pane="bottomLeft" activeCell="A14" sqref="A14"/>
      <selection pane="bottomRight" activeCell="J66" sqref="J66"/>
    </sheetView>
  </sheetViews>
  <sheetFormatPr defaultColWidth="9.140625" defaultRowHeight="12.75" x14ac:dyDescent="0.2"/>
  <cols>
    <col min="1" max="1" width="35" customWidth="1"/>
    <col min="2" max="2" width="11.85546875" customWidth="1"/>
    <col min="3" max="3" width="22.85546875" bestFit="1" customWidth="1"/>
    <col min="4" max="4" width="11.85546875" customWidth="1"/>
    <col min="5" max="6" width="12.28515625" bestFit="1" customWidth="1"/>
    <col min="7" max="7" width="10.5703125" bestFit="1" customWidth="1"/>
    <col min="8" max="8" width="8.5703125" bestFit="1" customWidth="1"/>
    <col min="9" max="9" width="10.42578125" customWidth="1"/>
    <col min="10" max="10" width="15.140625" customWidth="1"/>
    <col min="11" max="12" width="12.7109375" customWidth="1"/>
    <col min="13" max="13" width="14.28515625" style="113" bestFit="1" customWidth="1"/>
    <col min="14" max="14" width="6.42578125" style="69" customWidth="1"/>
    <col min="15" max="15" width="9.7109375" customWidth="1"/>
    <col min="16" max="16" width="12.140625" customWidth="1"/>
    <col min="17" max="17" width="10.140625" bestFit="1" customWidth="1"/>
    <col min="18" max="18" width="12" customWidth="1"/>
    <col min="20" max="20" width="10.140625" bestFit="1" customWidth="1"/>
    <col min="22" max="22" width="10.140625" bestFit="1" customWidth="1"/>
  </cols>
  <sheetData>
    <row r="1" spans="1:17" ht="18" x14ac:dyDescent="0.25">
      <c r="A1" s="744" t="s">
        <v>260</v>
      </c>
      <c r="B1" s="744"/>
      <c r="C1" s="452"/>
      <c r="D1" s="452" t="s">
        <v>0</v>
      </c>
      <c r="E1" s="452"/>
      <c r="F1" s="452"/>
      <c r="G1" s="452"/>
      <c r="H1" s="452"/>
      <c r="I1" s="452"/>
      <c r="J1" s="452"/>
      <c r="K1" s="452"/>
      <c r="L1" s="452"/>
      <c r="M1" s="452"/>
    </row>
    <row r="2" spans="1:17" ht="32.1" customHeight="1" x14ac:dyDescent="0.2">
      <c r="A2" s="744"/>
      <c r="B2" s="744"/>
      <c r="C2" s="453"/>
      <c r="D2" s="453"/>
      <c r="E2" s="453"/>
      <c r="F2" s="453"/>
      <c r="G2" s="453"/>
      <c r="H2" s="453"/>
      <c r="I2" s="453"/>
      <c r="J2" s="453"/>
      <c r="K2" s="453"/>
      <c r="L2" s="453"/>
      <c r="M2" s="453"/>
      <c r="O2" s="767" t="s">
        <v>261</v>
      </c>
      <c r="P2" s="767"/>
      <c r="Q2" s="767"/>
    </row>
    <row r="3" spans="1:17" ht="18" customHeight="1" x14ac:dyDescent="0.25">
      <c r="A3" s="769">
        <f>Inputs!A13</f>
        <v>0</v>
      </c>
      <c r="B3" s="769"/>
      <c r="C3" s="769"/>
      <c r="D3" s="769"/>
      <c r="E3" s="769"/>
      <c r="F3" s="769"/>
      <c r="G3" s="769"/>
      <c r="H3" s="769"/>
      <c r="I3" s="769"/>
      <c r="J3" s="769"/>
      <c r="K3" s="769"/>
      <c r="L3" s="769"/>
      <c r="M3" s="769"/>
      <c r="N3" s="70"/>
      <c r="O3" s="767"/>
      <c r="P3" s="767"/>
      <c r="Q3" s="767"/>
    </row>
    <row r="4" spans="1:17" x14ac:dyDescent="0.2">
      <c r="A4" s="55"/>
      <c r="B4" s="55"/>
      <c r="C4" s="55"/>
      <c r="D4" s="55"/>
      <c r="E4" s="55"/>
      <c r="F4" s="55"/>
      <c r="G4" s="55"/>
      <c r="H4" s="55"/>
      <c r="I4" s="55"/>
      <c r="J4" s="55"/>
      <c r="K4" s="55"/>
      <c r="L4" s="55"/>
      <c r="M4" s="321">
        <f>IF(OR(MOD(YEAR(L5),400)=0,AND(MOD(YEAR(L5),4)=0,MOD(YEAR(L5),100)&lt;&gt;0)),L5+366,L5+365)</f>
        <v>45810</v>
      </c>
      <c r="O4" s="767"/>
      <c r="P4" s="767"/>
      <c r="Q4" s="767"/>
    </row>
    <row r="5" spans="1:17" ht="15.75" x14ac:dyDescent="0.25">
      <c r="A5" s="107"/>
      <c r="B5" s="55"/>
      <c r="C5" s="55"/>
      <c r="D5" s="55"/>
      <c r="I5" s="322" t="s">
        <v>12</v>
      </c>
      <c r="J5" s="323">
        <f>Inputs!B15</f>
        <v>44713</v>
      </c>
      <c r="K5" s="323">
        <f>+J5+365</f>
        <v>45078</v>
      </c>
      <c r="L5" s="323">
        <f>+K5+365+1</f>
        <v>45444</v>
      </c>
      <c r="M5" s="318" t="s">
        <v>23</v>
      </c>
      <c r="O5" s="422">
        <f>YEAR(J5)</f>
        <v>2022</v>
      </c>
      <c r="P5" s="422">
        <f t="shared" ref="P5:Q5" si="0">YEAR(K5)</f>
        <v>2023</v>
      </c>
      <c r="Q5" s="422">
        <f t="shared" si="0"/>
        <v>2024</v>
      </c>
    </row>
    <row r="6" spans="1:17" x14ac:dyDescent="0.2">
      <c r="B6" s="56"/>
      <c r="C6" s="56"/>
      <c r="I6" s="322" t="s">
        <v>14</v>
      </c>
      <c r="J6" s="352">
        <f>IF($B17&lt;K5,COUNT(G17),0)</f>
        <v>0</v>
      </c>
      <c r="K6" s="352">
        <f>IF($B17&lt;L5,COUNT(H17),0)</f>
        <v>0</v>
      </c>
      <c r="L6" s="352">
        <f>IF($B17&lt;M4,COUNT(I17),0)</f>
        <v>0</v>
      </c>
    </row>
    <row r="7" spans="1:17" x14ac:dyDescent="0.2">
      <c r="B7" s="56"/>
      <c r="C7" s="56"/>
      <c r="I7" s="322" t="s">
        <v>262</v>
      </c>
      <c r="J7" s="353">
        <f>(IF($B18&lt;K5,COUNTIF(G18,"&gt;0"),0))+(IF($B28&lt;K5,COUNTIF(G28,"&gt;0"),0))</f>
        <v>0</v>
      </c>
      <c r="K7" s="353">
        <f>(IF($B18&lt;L5,COUNTIF(H18,"&gt;0"),0))+(IF($B28&lt;L5,COUNTIF(H28,"&gt;0"),0))</f>
        <v>0</v>
      </c>
      <c r="L7" s="353">
        <f>(IF($B18&lt;M4,COUNTIF(I18,"&gt;0"),0))+(IF($B28&lt;M4,COUNTIF(I28,"&gt;0"),0))</f>
        <v>0</v>
      </c>
    </row>
    <row r="8" spans="1:17" x14ac:dyDescent="0.2">
      <c r="B8" s="56"/>
      <c r="C8" s="56"/>
      <c r="I8" s="322" t="s">
        <v>263</v>
      </c>
      <c r="J8" s="354">
        <f>IF(Inputs!$B$35="Yes",Calc!G28,0)</f>
        <v>0</v>
      </c>
      <c r="K8" s="354">
        <f>IF(Inputs!$B$35="Yes",Calc!H28,0)</f>
        <v>0</v>
      </c>
      <c r="L8" s="354">
        <f>IF(Inputs!$B$35="Yes",Calc!I28,0)</f>
        <v>0</v>
      </c>
      <c r="O8" s="451"/>
    </row>
    <row r="9" spans="1:17" x14ac:dyDescent="0.2">
      <c r="B9" s="56"/>
      <c r="C9" s="56"/>
      <c r="I9" s="322" t="s">
        <v>264</v>
      </c>
      <c r="J9" s="353">
        <f>COUNTIF(G$19:G$26,"&gt;0")+COUNTIF(G$29:G$36,"&gt;0")</f>
        <v>0</v>
      </c>
      <c r="K9" s="353">
        <f t="shared" ref="K9:L9" si="1">COUNTIF(H$19:H$26,"&gt;0")+COUNTIF(H$29:H$36,"&gt;0")</f>
        <v>0</v>
      </c>
      <c r="L9" s="353">
        <f t="shared" si="1"/>
        <v>0</v>
      </c>
    </row>
    <row r="10" spans="1:17" x14ac:dyDescent="0.2">
      <c r="B10" s="56"/>
      <c r="C10" s="56"/>
      <c r="I10" s="322" t="s">
        <v>265</v>
      </c>
      <c r="J10" s="353">
        <f>COUNTIF(G$19:G$26,"&gt;0")</f>
        <v>0</v>
      </c>
      <c r="K10" s="353">
        <f t="shared" ref="K10:L10" si="2">COUNTIF(H$19:H$26,"&gt;0")</f>
        <v>0</v>
      </c>
      <c r="L10" s="353">
        <f t="shared" si="2"/>
        <v>0</v>
      </c>
    </row>
    <row r="11" spans="1:17" x14ac:dyDescent="0.2">
      <c r="B11" s="56"/>
      <c r="C11" s="56"/>
      <c r="I11" s="322" t="s">
        <v>266</v>
      </c>
      <c r="J11" s="353">
        <f>COUNTIF(G$29:G$36,"&gt;0")</f>
        <v>0</v>
      </c>
      <c r="K11" s="353">
        <f t="shared" ref="K11:L11" si="3">COUNTIF(H$29:H$36,"&gt;0")</f>
        <v>0</v>
      </c>
      <c r="L11" s="353">
        <f t="shared" si="3"/>
        <v>0</v>
      </c>
    </row>
    <row r="12" spans="1:17" x14ac:dyDescent="0.2">
      <c r="B12" s="56"/>
      <c r="C12" s="56"/>
      <c r="D12" s="56"/>
      <c r="E12" s="56"/>
      <c r="I12" s="322" t="s">
        <v>267</v>
      </c>
      <c r="J12" s="353">
        <f>SUM(G19:G26)+SUM(G29:G36)</f>
        <v>0</v>
      </c>
      <c r="K12" s="353">
        <f t="shared" ref="K12:L12" si="4">SUM(H19:H26)+SUM(H29:H36)</f>
        <v>0</v>
      </c>
      <c r="L12" s="353">
        <f t="shared" si="4"/>
        <v>0</v>
      </c>
    </row>
    <row r="13" spans="1:17" x14ac:dyDescent="0.2">
      <c r="B13" s="56"/>
      <c r="C13" s="56"/>
      <c r="I13" s="322" t="s">
        <v>268</v>
      </c>
      <c r="J13" s="353">
        <f>+G27+G37</f>
        <v>0</v>
      </c>
      <c r="K13" s="353">
        <f t="shared" ref="K13:L13" si="5">+H27+H37</f>
        <v>0</v>
      </c>
      <c r="L13" s="353">
        <f t="shared" si="5"/>
        <v>0</v>
      </c>
    </row>
    <row r="14" spans="1:17" x14ac:dyDescent="0.2">
      <c r="A14" s="420"/>
      <c r="B14" s="421"/>
      <c r="K14" s="768"/>
      <c r="L14" s="768"/>
      <c r="M14" s="327"/>
      <c r="N14" s="71"/>
    </row>
    <row r="15" spans="1:17" x14ac:dyDescent="0.2">
      <c r="D15" s="328">
        <f>+Inputs!B19</f>
        <v>0.25</v>
      </c>
      <c r="M15" s="329"/>
    </row>
    <row r="16" spans="1:17" x14ac:dyDescent="0.2">
      <c r="A16" s="330" t="s">
        <v>176</v>
      </c>
      <c r="B16" s="325" t="s">
        <v>20</v>
      </c>
      <c r="C16" s="326" t="s">
        <v>21</v>
      </c>
      <c r="D16" s="326" t="s">
        <v>269</v>
      </c>
      <c r="E16" s="324" t="s">
        <v>23</v>
      </c>
      <c r="F16" s="324" t="s">
        <v>270</v>
      </c>
      <c r="G16" s="324">
        <f>YEAR(J5)</f>
        <v>2022</v>
      </c>
      <c r="H16" s="324">
        <f>YEAR(K5)</f>
        <v>2023</v>
      </c>
      <c r="I16" s="324">
        <f>YEAR(L5)</f>
        <v>2024</v>
      </c>
      <c r="J16" s="331"/>
      <c r="K16" s="332">
        <f>Inputs!$B$17</f>
        <v>0.03</v>
      </c>
      <c r="L16" s="332">
        <f>Inputs!$C$17</f>
        <v>0.03</v>
      </c>
      <c r="M16" s="325"/>
      <c r="N16" s="70"/>
      <c r="O16" s="621">
        <f>+O$5</f>
        <v>2022</v>
      </c>
      <c r="P16" s="621">
        <f t="shared" ref="P16:Q16" si="6">+P$5</f>
        <v>2023</v>
      </c>
      <c r="Q16" s="621">
        <f t="shared" si="6"/>
        <v>2024</v>
      </c>
    </row>
    <row r="17" spans="1:19" x14ac:dyDescent="0.2">
      <c r="A17" s="3" t="s">
        <v>30</v>
      </c>
      <c r="B17" s="304" t="str">
        <f>IF(Inputs!B24="","",Inputs!B24)</f>
        <v/>
      </c>
      <c r="C17" s="27" t="str">
        <f>IF(Inputs!C24="","",Inputs!C24)</f>
        <v/>
      </c>
      <c r="D17" s="32">
        <f>IFERROR(C17*$D$15,0)</f>
        <v>0</v>
      </c>
      <c r="E17" s="32">
        <f>IFERROR(C17+D17,0)</f>
        <v>0</v>
      </c>
      <c r="F17" s="450">
        <f>Inputs!D24</f>
        <v>0</v>
      </c>
      <c r="G17" s="333">
        <f>IF($B17&lt;K$5,ROUND((((12-(($B17-J$5)/30.4))/12)*$F17),2),0)</f>
        <v>0</v>
      </c>
      <c r="H17" s="333">
        <f>IF($B17&lt;K$5,$F17,(IF(AND(B17&gt;=K$5,$B17&lt;L$5),ROUND(((((12-($B17-K$5)/30.45)/12))*$F17),2),0)))</f>
        <v>0</v>
      </c>
      <c r="I17" s="333">
        <f>IF($B17&lt;L$5,$F17,(IF(AND(C17&gt;=L$5,$B17&lt;M$4),ROUND(((((12-($B17-L$5)/30.45)/12))*$F17),2),0)))</f>
        <v>0</v>
      </c>
      <c r="J17" s="143">
        <f>+E17*G17</f>
        <v>0</v>
      </c>
      <c r="K17" s="143">
        <f>E17*(1+K$16)*H17</f>
        <v>0</v>
      </c>
      <c r="L17" s="143">
        <f>E17*(1+K$16)*(1+L$16)*I17</f>
        <v>0</v>
      </c>
      <c r="M17" s="449">
        <f t="shared" ref="M17:M40" si="7">J17+K17+L17</f>
        <v>0</v>
      </c>
      <c r="N17" s="70"/>
      <c r="O17" s="423">
        <f t="shared" ref="O17:O40" si="8">+J17/J$150</f>
        <v>0</v>
      </c>
      <c r="P17" s="423">
        <f t="shared" ref="P17:P40" si="9">+K17/K$150</f>
        <v>0</v>
      </c>
      <c r="Q17" s="423">
        <f t="shared" ref="Q17:Q40" si="10">+L17/L$150</f>
        <v>0</v>
      </c>
    </row>
    <row r="18" spans="1:19" x14ac:dyDescent="0.2">
      <c r="A18" s="58" t="s">
        <v>32</v>
      </c>
      <c r="B18" s="304" t="str">
        <f>IF(Inputs!B25="","",Inputs!B25)</f>
        <v/>
      </c>
      <c r="C18" s="27" t="str">
        <f>IF(Inputs!C25="","",Inputs!C25)</f>
        <v/>
      </c>
      <c r="D18" s="32">
        <f t="shared" ref="D18:D37" si="11">IFERROR(C18*$D$15,0)</f>
        <v>0</v>
      </c>
      <c r="E18" s="32">
        <f t="shared" ref="E18:E37" si="12">IFERROR(C18+D18,0)</f>
        <v>0</v>
      </c>
      <c r="F18" s="450">
        <f>Inputs!D25</f>
        <v>0</v>
      </c>
      <c r="G18" s="333">
        <f t="shared" ref="G18:G37" si="13">IF($B18&lt;K$5,ROUND((((12-(($B18-J$5)/30.4))/12)*$F18),2),0)</f>
        <v>0</v>
      </c>
      <c r="H18" s="333">
        <f t="shared" ref="H18:H37" si="14">IF($B18&lt;K$5,$F18,(IF(AND(B18&gt;=K$5,$B18&lt;L$5),ROUND(((((12-($B18-K$5)/30.45)/12))*$F18),2),0)))</f>
        <v>0</v>
      </c>
      <c r="I18" s="333">
        <f t="shared" ref="I18:I37" si="15">IF($B18&lt;L$5,$F18,(IF(AND(C18&gt;=L$5,$B18&lt;M$4),ROUND(((((12-($B18-L$5)/30.45)/12))*$F18),2),0)))</f>
        <v>0</v>
      </c>
      <c r="J18" s="143">
        <f t="shared" ref="J18:J37" si="16">+E18*G18</f>
        <v>0</v>
      </c>
      <c r="K18" s="143">
        <f t="shared" ref="K18:K37" si="17">+$E18*(1+K$16)*H18</f>
        <v>0</v>
      </c>
      <c r="L18" s="424">
        <f t="shared" ref="L18:L37" si="18">$E18*(1+K$16)*(1+L$16)*I18</f>
        <v>0</v>
      </c>
      <c r="M18" s="449">
        <f t="shared" si="7"/>
        <v>0</v>
      </c>
      <c r="N18" s="335"/>
      <c r="O18" s="423">
        <f t="shared" si="8"/>
        <v>0</v>
      </c>
      <c r="P18" s="423">
        <f t="shared" si="9"/>
        <v>0</v>
      </c>
      <c r="Q18" s="423">
        <f t="shared" si="10"/>
        <v>0</v>
      </c>
    </row>
    <row r="19" spans="1:19" x14ac:dyDescent="0.2">
      <c r="A19" s="3" t="s">
        <v>34</v>
      </c>
      <c r="B19" s="304" t="str">
        <f>IF(Inputs!B26="","",Inputs!B26)</f>
        <v/>
      </c>
      <c r="C19" s="27" t="str">
        <f>IF(Inputs!C26="","",Inputs!C26)</f>
        <v/>
      </c>
      <c r="D19" s="32">
        <f t="shared" si="11"/>
        <v>0</v>
      </c>
      <c r="E19" s="32">
        <f t="shared" si="12"/>
        <v>0</v>
      </c>
      <c r="F19" s="450">
        <f>Inputs!D26</f>
        <v>0</v>
      </c>
      <c r="G19" s="333">
        <f t="shared" si="13"/>
        <v>0</v>
      </c>
      <c r="H19" s="333">
        <f t="shared" si="14"/>
        <v>0</v>
      </c>
      <c r="I19" s="333">
        <f t="shared" si="15"/>
        <v>0</v>
      </c>
      <c r="J19" s="143">
        <f t="shared" si="16"/>
        <v>0</v>
      </c>
      <c r="K19" s="143">
        <f t="shared" si="17"/>
        <v>0</v>
      </c>
      <c r="L19" s="424">
        <f t="shared" si="18"/>
        <v>0</v>
      </c>
      <c r="M19" s="449">
        <f t="shared" si="7"/>
        <v>0</v>
      </c>
      <c r="N19" s="70"/>
      <c r="O19" s="423">
        <f t="shared" si="8"/>
        <v>0</v>
      </c>
      <c r="P19" s="423">
        <f t="shared" si="9"/>
        <v>0</v>
      </c>
      <c r="Q19" s="423">
        <f t="shared" si="10"/>
        <v>0</v>
      </c>
      <c r="R19" s="296"/>
      <c r="S19" s="297"/>
    </row>
    <row r="20" spans="1:19" x14ac:dyDescent="0.2">
      <c r="A20" s="3" t="s">
        <v>36</v>
      </c>
      <c r="B20" s="304" t="str">
        <f>IF(Inputs!B27="","",Inputs!B27)</f>
        <v/>
      </c>
      <c r="C20" s="27" t="str">
        <f>IF(Inputs!C27="","",Inputs!C27)</f>
        <v/>
      </c>
      <c r="D20" s="32">
        <f t="shared" si="11"/>
        <v>0</v>
      </c>
      <c r="E20" s="32">
        <f t="shared" si="12"/>
        <v>0</v>
      </c>
      <c r="F20" s="450">
        <f>Inputs!D27</f>
        <v>0</v>
      </c>
      <c r="G20" s="333">
        <f t="shared" si="13"/>
        <v>0</v>
      </c>
      <c r="H20" s="333">
        <f t="shared" si="14"/>
        <v>0</v>
      </c>
      <c r="I20" s="333">
        <f t="shared" si="15"/>
        <v>0</v>
      </c>
      <c r="J20" s="143">
        <f t="shared" si="16"/>
        <v>0</v>
      </c>
      <c r="K20" s="143">
        <f t="shared" si="17"/>
        <v>0</v>
      </c>
      <c r="L20" s="424">
        <f t="shared" si="18"/>
        <v>0</v>
      </c>
      <c r="M20" s="449">
        <f t="shared" si="7"/>
        <v>0</v>
      </c>
      <c r="N20" s="72"/>
      <c r="O20" s="423">
        <f t="shared" si="8"/>
        <v>0</v>
      </c>
      <c r="P20" s="423">
        <f t="shared" si="9"/>
        <v>0</v>
      </c>
      <c r="Q20" s="423">
        <f t="shared" si="10"/>
        <v>0</v>
      </c>
      <c r="R20" s="296"/>
      <c r="S20" s="297"/>
    </row>
    <row r="21" spans="1:19" x14ac:dyDescent="0.2">
      <c r="A21" s="3" t="s">
        <v>37</v>
      </c>
      <c r="B21" s="304" t="str">
        <f>IF(Inputs!B28="","",Inputs!B28)</f>
        <v/>
      </c>
      <c r="C21" s="27" t="str">
        <f>IF(Inputs!C28="","",Inputs!C28)</f>
        <v/>
      </c>
      <c r="D21" s="32">
        <f t="shared" si="11"/>
        <v>0</v>
      </c>
      <c r="E21" s="32">
        <f t="shared" si="12"/>
        <v>0</v>
      </c>
      <c r="F21" s="450">
        <f>Inputs!D28</f>
        <v>0</v>
      </c>
      <c r="G21" s="333">
        <f t="shared" si="13"/>
        <v>0</v>
      </c>
      <c r="H21" s="333">
        <f t="shared" si="14"/>
        <v>0</v>
      </c>
      <c r="I21" s="333">
        <f t="shared" si="15"/>
        <v>0</v>
      </c>
      <c r="J21" s="143">
        <f t="shared" si="16"/>
        <v>0</v>
      </c>
      <c r="K21" s="143">
        <f t="shared" si="17"/>
        <v>0</v>
      </c>
      <c r="L21" s="424">
        <f t="shared" si="18"/>
        <v>0</v>
      </c>
      <c r="M21" s="449">
        <f t="shared" si="7"/>
        <v>0</v>
      </c>
      <c r="N21" s="70"/>
      <c r="O21" s="423">
        <f t="shared" si="8"/>
        <v>0</v>
      </c>
      <c r="P21" s="423">
        <f t="shared" si="9"/>
        <v>0</v>
      </c>
      <c r="Q21" s="423">
        <f t="shared" si="10"/>
        <v>0</v>
      </c>
      <c r="R21" s="296"/>
      <c r="S21" s="297"/>
    </row>
    <row r="22" spans="1:19" x14ac:dyDescent="0.2">
      <c r="A22" s="3" t="s">
        <v>38</v>
      </c>
      <c r="B22" s="304" t="str">
        <f>IF(Inputs!B29="","",Inputs!B29)</f>
        <v/>
      </c>
      <c r="C22" s="27" t="str">
        <f>IF(Inputs!C29="","",Inputs!C29)</f>
        <v/>
      </c>
      <c r="D22" s="32">
        <f t="shared" si="11"/>
        <v>0</v>
      </c>
      <c r="E22" s="32">
        <f t="shared" si="12"/>
        <v>0</v>
      </c>
      <c r="F22" s="450">
        <f>Inputs!D29</f>
        <v>0</v>
      </c>
      <c r="G22" s="333">
        <f t="shared" si="13"/>
        <v>0</v>
      </c>
      <c r="H22" s="333">
        <f t="shared" si="14"/>
        <v>0</v>
      </c>
      <c r="I22" s="333">
        <f t="shared" si="15"/>
        <v>0</v>
      </c>
      <c r="J22" s="143">
        <f t="shared" si="16"/>
        <v>0</v>
      </c>
      <c r="K22" s="143">
        <f t="shared" si="17"/>
        <v>0</v>
      </c>
      <c r="L22" s="424">
        <f t="shared" si="18"/>
        <v>0</v>
      </c>
      <c r="M22" s="449">
        <f t="shared" si="7"/>
        <v>0</v>
      </c>
      <c r="N22" s="70"/>
      <c r="O22" s="423">
        <f t="shared" si="8"/>
        <v>0</v>
      </c>
      <c r="P22" s="423">
        <f t="shared" si="9"/>
        <v>0</v>
      </c>
      <c r="Q22" s="423">
        <f t="shared" si="10"/>
        <v>0</v>
      </c>
      <c r="R22" s="296"/>
      <c r="S22" s="297"/>
    </row>
    <row r="23" spans="1:19" x14ac:dyDescent="0.2">
      <c r="A23" s="3" t="s">
        <v>39</v>
      </c>
      <c r="B23" s="304" t="str">
        <f>IF(Inputs!B30="","",Inputs!B30)</f>
        <v/>
      </c>
      <c r="C23" s="27" t="str">
        <f>IF(Inputs!C30="","",Inputs!C30)</f>
        <v/>
      </c>
      <c r="D23" s="32">
        <f t="shared" si="11"/>
        <v>0</v>
      </c>
      <c r="E23" s="32">
        <f t="shared" si="12"/>
        <v>0</v>
      </c>
      <c r="F23" s="450">
        <f>Inputs!D30</f>
        <v>0</v>
      </c>
      <c r="G23" s="333">
        <f t="shared" si="13"/>
        <v>0</v>
      </c>
      <c r="H23" s="333">
        <f t="shared" si="14"/>
        <v>0</v>
      </c>
      <c r="I23" s="333">
        <f t="shared" si="15"/>
        <v>0</v>
      </c>
      <c r="J23" s="143">
        <f t="shared" si="16"/>
        <v>0</v>
      </c>
      <c r="K23" s="143">
        <f t="shared" si="17"/>
        <v>0</v>
      </c>
      <c r="L23" s="424">
        <f t="shared" si="18"/>
        <v>0</v>
      </c>
      <c r="M23" s="449">
        <f t="shared" si="7"/>
        <v>0</v>
      </c>
      <c r="N23" s="70"/>
      <c r="O23" s="423">
        <f t="shared" si="8"/>
        <v>0</v>
      </c>
      <c r="P23" s="423">
        <f t="shared" si="9"/>
        <v>0</v>
      </c>
      <c r="Q23" s="423">
        <f t="shared" si="10"/>
        <v>0</v>
      </c>
      <c r="R23" s="296"/>
      <c r="S23" s="297"/>
    </row>
    <row r="24" spans="1:19" x14ac:dyDescent="0.2">
      <c r="A24" s="3" t="s">
        <v>40</v>
      </c>
      <c r="B24" s="304" t="str">
        <f>IF(Inputs!B31="","",Inputs!B31)</f>
        <v/>
      </c>
      <c r="C24" s="27" t="str">
        <f>IF(Inputs!C31="","",Inputs!C31)</f>
        <v/>
      </c>
      <c r="D24" s="32">
        <f t="shared" si="11"/>
        <v>0</v>
      </c>
      <c r="E24" s="32">
        <f t="shared" si="12"/>
        <v>0</v>
      </c>
      <c r="F24" s="450">
        <f>Inputs!D31</f>
        <v>0</v>
      </c>
      <c r="G24" s="333">
        <f t="shared" si="13"/>
        <v>0</v>
      </c>
      <c r="H24" s="333">
        <f t="shared" si="14"/>
        <v>0</v>
      </c>
      <c r="I24" s="333">
        <f t="shared" si="15"/>
        <v>0</v>
      </c>
      <c r="J24" s="143">
        <f t="shared" si="16"/>
        <v>0</v>
      </c>
      <c r="K24" s="143">
        <f t="shared" si="17"/>
        <v>0</v>
      </c>
      <c r="L24" s="424">
        <f t="shared" si="18"/>
        <v>0</v>
      </c>
      <c r="M24" s="449">
        <f t="shared" si="7"/>
        <v>0</v>
      </c>
      <c r="N24" s="70"/>
      <c r="O24" s="423">
        <f t="shared" si="8"/>
        <v>0</v>
      </c>
      <c r="P24" s="423">
        <f t="shared" si="9"/>
        <v>0</v>
      </c>
      <c r="Q24" s="423">
        <f t="shared" si="10"/>
        <v>0</v>
      </c>
      <c r="R24" s="296"/>
      <c r="S24" s="297"/>
    </row>
    <row r="25" spans="1:19" x14ac:dyDescent="0.2">
      <c r="A25" s="3" t="s">
        <v>41</v>
      </c>
      <c r="B25" s="304" t="str">
        <f>IF(Inputs!B32="","",Inputs!B32)</f>
        <v/>
      </c>
      <c r="C25" s="27" t="str">
        <f>IF(Inputs!C32="","",Inputs!C32)</f>
        <v/>
      </c>
      <c r="D25" s="32">
        <f t="shared" si="11"/>
        <v>0</v>
      </c>
      <c r="E25" s="32">
        <f t="shared" si="12"/>
        <v>0</v>
      </c>
      <c r="F25" s="450">
        <f>Inputs!D32</f>
        <v>0</v>
      </c>
      <c r="G25" s="333">
        <f t="shared" si="13"/>
        <v>0</v>
      </c>
      <c r="H25" s="333">
        <f t="shared" si="14"/>
        <v>0</v>
      </c>
      <c r="I25" s="333">
        <f t="shared" si="15"/>
        <v>0</v>
      </c>
      <c r="J25" s="143">
        <f t="shared" si="16"/>
        <v>0</v>
      </c>
      <c r="K25" s="143">
        <f t="shared" si="17"/>
        <v>0</v>
      </c>
      <c r="L25" s="424">
        <f t="shared" si="18"/>
        <v>0</v>
      </c>
      <c r="M25" s="449">
        <f t="shared" si="7"/>
        <v>0</v>
      </c>
      <c r="N25" s="70"/>
      <c r="O25" s="423">
        <f t="shared" si="8"/>
        <v>0</v>
      </c>
      <c r="P25" s="423">
        <f t="shared" si="9"/>
        <v>0</v>
      </c>
      <c r="Q25" s="423">
        <f t="shared" si="10"/>
        <v>0</v>
      </c>
      <c r="R25" s="296"/>
      <c r="S25" s="297"/>
    </row>
    <row r="26" spans="1:19" x14ac:dyDescent="0.2">
      <c r="A26" s="3" t="s">
        <v>42</v>
      </c>
      <c r="B26" s="304" t="str">
        <f>IF(Inputs!B33="","",Inputs!B33)</f>
        <v/>
      </c>
      <c r="C26" s="27" t="str">
        <f>IF(Inputs!C33="","",Inputs!C33)</f>
        <v/>
      </c>
      <c r="D26" s="32">
        <f t="shared" si="11"/>
        <v>0</v>
      </c>
      <c r="E26" s="32">
        <f t="shared" si="12"/>
        <v>0</v>
      </c>
      <c r="F26" s="450">
        <f>Inputs!D33</f>
        <v>0</v>
      </c>
      <c r="G26" s="333">
        <f t="shared" si="13"/>
        <v>0</v>
      </c>
      <c r="H26" s="333">
        <f t="shared" si="14"/>
        <v>0</v>
      </c>
      <c r="I26" s="333">
        <f t="shared" si="15"/>
        <v>0</v>
      </c>
      <c r="J26" s="143">
        <f t="shared" si="16"/>
        <v>0</v>
      </c>
      <c r="K26" s="143">
        <f t="shared" si="17"/>
        <v>0</v>
      </c>
      <c r="L26" s="424">
        <f t="shared" si="18"/>
        <v>0</v>
      </c>
      <c r="M26" s="449">
        <f t="shared" si="7"/>
        <v>0</v>
      </c>
      <c r="N26" s="70"/>
      <c r="O26" s="423">
        <f t="shared" si="8"/>
        <v>0</v>
      </c>
      <c r="P26" s="423">
        <f t="shared" si="9"/>
        <v>0</v>
      </c>
      <c r="Q26" s="423">
        <f t="shared" si="10"/>
        <v>0</v>
      </c>
      <c r="R26" s="296"/>
      <c r="S26" s="297"/>
    </row>
    <row r="27" spans="1:19" x14ac:dyDescent="0.2">
      <c r="A27" s="3" t="s">
        <v>43</v>
      </c>
      <c r="B27" s="304" t="str">
        <f>IF(Inputs!B34="","",Inputs!B34)</f>
        <v/>
      </c>
      <c r="C27" s="27" t="str">
        <f>IF(Inputs!C34="","",Inputs!C34)</f>
        <v/>
      </c>
      <c r="D27" s="32">
        <f t="shared" si="11"/>
        <v>0</v>
      </c>
      <c r="E27" s="32">
        <f t="shared" si="12"/>
        <v>0</v>
      </c>
      <c r="F27" s="450">
        <f>Inputs!D34</f>
        <v>0</v>
      </c>
      <c r="G27" s="333">
        <f t="shared" si="13"/>
        <v>0</v>
      </c>
      <c r="H27" s="333">
        <f t="shared" si="14"/>
        <v>0</v>
      </c>
      <c r="I27" s="333">
        <f t="shared" si="15"/>
        <v>0</v>
      </c>
      <c r="J27" s="143">
        <f t="shared" si="16"/>
        <v>0</v>
      </c>
      <c r="K27" s="143">
        <f t="shared" si="17"/>
        <v>0</v>
      </c>
      <c r="L27" s="424">
        <f t="shared" si="18"/>
        <v>0</v>
      </c>
      <c r="M27" s="449">
        <f t="shared" si="7"/>
        <v>0</v>
      </c>
      <c r="N27" s="72"/>
      <c r="O27" s="423">
        <f t="shared" si="8"/>
        <v>0</v>
      </c>
      <c r="P27" s="423">
        <f t="shared" si="9"/>
        <v>0</v>
      </c>
      <c r="Q27" s="423">
        <f t="shared" si="10"/>
        <v>0</v>
      </c>
      <c r="R27" s="296"/>
      <c r="S27" s="297"/>
    </row>
    <row r="28" spans="1:19" x14ac:dyDescent="0.2">
      <c r="A28" s="58" t="s">
        <v>44</v>
      </c>
      <c r="B28" s="304" t="str">
        <f>IF(Inputs!B36="","",Inputs!B36)</f>
        <v/>
      </c>
      <c r="C28" s="27" t="str">
        <f>IF(Inputs!C36="","",Inputs!C36)</f>
        <v/>
      </c>
      <c r="D28" s="32">
        <f t="shared" si="11"/>
        <v>0</v>
      </c>
      <c r="E28" s="32">
        <f t="shared" si="12"/>
        <v>0</v>
      </c>
      <c r="F28" s="450">
        <f>Inputs!D36</f>
        <v>0</v>
      </c>
      <c r="G28" s="333">
        <f t="shared" si="13"/>
        <v>0</v>
      </c>
      <c r="H28" s="333">
        <f t="shared" si="14"/>
        <v>0</v>
      </c>
      <c r="I28" s="333">
        <f t="shared" si="15"/>
        <v>0</v>
      </c>
      <c r="J28" s="143">
        <f t="shared" si="16"/>
        <v>0</v>
      </c>
      <c r="K28" s="143">
        <f t="shared" si="17"/>
        <v>0</v>
      </c>
      <c r="L28" s="424">
        <f t="shared" si="18"/>
        <v>0</v>
      </c>
      <c r="M28" s="449">
        <f t="shared" si="7"/>
        <v>0</v>
      </c>
      <c r="N28" s="335"/>
      <c r="O28" s="423">
        <f t="shared" si="8"/>
        <v>0</v>
      </c>
      <c r="P28" s="423">
        <f t="shared" si="9"/>
        <v>0</v>
      </c>
      <c r="Q28" s="423">
        <f t="shared" si="10"/>
        <v>0</v>
      </c>
      <c r="R28" s="296"/>
      <c r="S28" s="296"/>
    </row>
    <row r="29" spans="1:19" x14ac:dyDescent="0.2">
      <c r="A29" s="58" t="s">
        <v>45</v>
      </c>
      <c r="B29" s="304" t="str">
        <f>IF(Inputs!B37="","",Inputs!B37)</f>
        <v/>
      </c>
      <c r="C29" s="27" t="str">
        <f>IF(Inputs!C37="","",Inputs!C37)</f>
        <v/>
      </c>
      <c r="D29" s="32">
        <f t="shared" si="11"/>
        <v>0</v>
      </c>
      <c r="E29" s="32">
        <f t="shared" si="12"/>
        <v>0</v>
      </c>
      <c r="F29" s="450">
        <f>Inputs!D37</f>
        <v>0</v>
      </c>
      <c r="G29" s="333">
        <f t="shared" si="13"/>
        <v>0</v>
      </c>
      <c r="H29" s="333">
        <f t="shared" si="14"/>
        <v>0</v>
      </c>
      <c r="I29" s="333">
        <f t="shared" si="15"/>
        <v>0</v>
      </c>
      <c r="J29" s="143">
        <f t="shared" si="16"/>
        <v>0</v>
      </c>
      <c r="K29" s="143">
        <f t="shared" si="17"/>
        <v>0</v>
      </c>
      <c r="L29" s="424">
        <f t="shared" si="18"/>
        <v>0</v>
      </c>
      <c r="M29" s="449">
        <f t="shared" si="7"/>
        <v>0</v>
      </c>
      <c r="N29" s="70"/>
      <c r="O29" s="423">
        <f t="shared" si="8"/>
        <v>0</v>
      </c>
      <c r="P29" s="423">
        <f t="shared" si="9"/>
        <v>0</v>
      </c>
      <c r="Q29" s="423">
        <f t="shared" si="10"/>
        <v>0</v>
      </c>
      <c r="R29" s="296"/>
      <c r="S29" s="296"/>
    </row>
    <row r="30" spans="1:19" x14ac:dyDescent="0.2">
      <c r="A30" s="58" t="s">
        <v>46</v>
      </c>
      <c r="B30" s="304" t="str">
        <f>IF(Inputs!B38="","",Inputs!B38)</f>
        <v/>
      </c>
      <c r="C30" s="27" t="str">
        <f>IF(Inputs!C38="","",Inputs!C38)</f>
        <v/>
      </c>
      <c r="D30" s="32">
        <f t="shared" si="11"/>
        <v>0</v>
      </c>
      <c r="E30" s="32">
        <f t="shared" si="12"/>
        <v>0</v>
      </c>
      <c r="F30" s="450">
        <f>Inputs!D38</f>
        <v>0</v>
      </c>
      <c r="G30" s="333">
        <f t="shared" si="13"/>
        <v>0</v>
      </c>
      <c r="H30" s="333">
        <f t="shared" si="14"/>
        <v>0</v>
      </c>
      <c r="I30" s="333">
        <f t="shared" si="15"/>
        <v>0</v>
      </c>
      <c r="J30" s="143">
        <f t="shared" si="16"/>
        <v>0</v>
      </c>
      <c r="K30" s="143">
        <f t="shared" si="17"/>
        <v>0</v>
      </c>
      <c r="L30" s="424">
        <f t="shared" si="18"/>
        <v>0</v>
      </c>
      <c r="M30" s="449">
        <f t="shared" si="7"/>
        <v>0</v>
      </c>
      <c r="N30" s="70"/>
      <c r="O30" s="423">
        <f t="shared" si="8"/>
        <v>0</v>
      </c>
      <c r="P30" s="423">
        <f t="shared" si="9"/>
        <v>0</v>
      </c>
      <c r="Q30" s="423">
        <f t="shared" si="10"/>
        <v>0</v>
      </c>
      <c r="R30" s="296"/>
      <c r="S30" s="296"/>
    </row>
    <row r="31" spans="1:19" x14ac:dyDescent="0.2">
      <c r="A31" s="58" t="s">
        <v>47</v>
      </c>
      <c r="B31" s="304" t="str">
        <f>IF(Inputs!B39="","",Inputs!B39)</f>
        <v/>
      </c>
      <c r="C31" s="27" t="str">
        <f>IF(Inputs!C39="","",Inputs!C39)</f>
        <v/>
      </c>
      <c r="D31" s="32">
        <f t="shared" si="11"/>
        <v>0</v>
      </c>
      <c r="E31" s="32">
        <f t="shared" si="12"/>
        <v>0</v>
      </c>
      <c r="F31" s="450">
        <f>Inputs!D39</f>
        <v>0</v>
      </c>
      <c r="G31" s="333">
        <f t="shared" si="13"/>
        <v>0</v>
      </c>
      <c r="H31" s="333">
        <f t="shared" si="14"/>
        <v>0</v>
      </c>
      <c r="I31" s="333">
        <f t="shared" si="15"/>
        <v>0</v>
      </c>
      <c r="J31" s="143">
        <f t="shared" si="16"/>
        <v>0</v>
      </c>
      <c r="K31" s="143">
        <f t="shared" si="17"/>
        <v>0</v>
      </c>
      <c r="L31" s="424">
        <f t="shared" si="18"/>
        <v>0</v>
      </c>
      <c r="M31" s="449">
        <f t="shared" si="7"/>
        <v>0</v>
      </c>
      <c r="N31" s="70"/>
      <c r="O31" s="423">
        <f t="shared" si="8"/>
        <v>0</v>
      </c>
      <c r="P31" s="423">
        <f t="shared" si="9"/>
        <v>0</v>
      </c>
      <c r="Q31" s="423">
        <f t="shared" si="10"/>
        <v>0</v>
      </c>
      <c r="R31" s="296"/>
      <c r="S31" s="296"/>
    </row>
    <row r="32" spans="1:19" x14ac:dyDescent="0.2">
      <c r="A32" s="58" t="s">
        <v>48</v>
      </c>
      <c r="B32" s="304" t="str">
        <f>IF(Inputs!B40="","",Inputs!B40)</f>
        <v/>
      </c>
      <c r="C32" s="27" t="str">
        <f>IF(Inputs!C40="","",Inputs!C40)</f>
        <v/>
      </c>
      <c r="D32" s="32">
        <f t="shared" si="11"/>
        <v>0</v>
      </c>
      <c r="E32" s="32">
        <f t="shared" si="12"/>
        <v>0</v>
      </c>
      <c r="F32" s="450">
        <f>Inputs!D40</f>
        <v>0</v>
      </c>
      <c r="G32" s="333">
        <f t="shared" si="13"/>
        <v>0</v>
      </c>
      <c r="H32" s="333">
        <f t="shared" si="14"/>
        <v>0</v>
      </c>
      <c r="I32" s="333">
        <f t="shared" si="15"/>
        <v>0</v>
      </c>
      <c r="J32" s="143">
        <f t="shared" si="16"/>
        <v>0</v>
      </c>
      <c r="K32" s="143">
        <f t="shared" si="17"/>
        <v>0</v>
      </c>
      <c r="L32" s="424">
        <f t="shared" si="18"/>
        <v>0</v>
      </c>
      <c r="M32" s="449">
        <f t="shared" si="7"/>
        <v>0</v>
      </c>
      <c r="N32" s="70"/>
      <c r="O32" s="423">
        <f t="shared" si="8"/>
        <v>0</v>
      </c>
      <c r="P32" s="423">
        <f t="shared" si="9"/>
        <v>0</v>
      </c>
      <c r="Q32" s="423">
        <f t="shared" si="10"/>
        <v>0</v>
      </c>
      <c r="R32" s="296"/>
      <c r="S32" s="296"/>
    </row>
    <row r="33" spans="1:19" x14ac:dyDescent="0.2">
      <c r="A33" s="58" t="s">
        <v>49</v>
      </c>
      <c r="B33" s="304" t="str">
        <f>IF(Inputs!B41="","",Inputs!B41)</f>
        <v/>
      </c>
      <c r="C33" s="27" t="str">
        <f>IF(Inputs!C41="","",Inputs!C41)</f>
        <v/>
      </c>
      <c r="D33" s="32">
        <f t="shared" si="11"/>
        <v>0</v>
      </c>
      <c r="E33" s="32">
        <f t="shared" si="12"/>
        <v>0</v>
      </c>
      <c r="F33" s="450">
        <f>Inputs!D41</f>
        <v>0</v>
      </c>
      <c r="G33" s="333">
        <f t="shared" si="13"/>
        <v>0</v>
      </c>
      <c r="H33" s="333">
        <f t="shared" si="14"/>
        <v>0</v>
      </c>
      <c r="I33" s="333">
        <f t="shared" si="15"/>
        <v>0</v>
      </c>
      <c r="J33" s="143">
        <f t="shared" si="16"/>
        <v>0</v>
      </c>
      <c r="K33" s="143">
        <f t="shared" si="17"/>
        <v>0</v>
      </c>
      <c r="L33" s="424">
        <f t="shared" si="18"/>
        <v>0</v>
      </c>
      <c r="M33" s="449">
        <f t="shared" si="7"/>
        <v>0</v>
      </c>
      <c r="N33" s="70"/>
      <c r="O33" s="423">
        <f t="shared" si="8"/>
        <v>0</v>
      </c>
      <c r="P33" s="423">
        <f t="shared" si="9"/>
        <v>0</v>
      </c>
      <c r="Q33" s="423">
        <f t="shared" si="10"/>
        <v>0</v>
      </c>
      <c r="R33" s="296"/>
      <c r="S33" s="296"/>
    </row>
    <row r="34" spans="1:19" x14ac:dyDescent="0.2">
      <c r="A34" s="58" t="s">
        <v>50</v>
      </c>
      <c r="B34" s="304" t="str">
        <f>IF(Inputs!B42="","",Inputs!B42)</f>
        <v/>
      </c>
      <c r="C34" s="27" t="str">
        <f>IF(Inputs!C42="","",Inputs!C42)</f>
        <v/>
      </c>
      <c r="D34" s="32">
        <f t="shared" si="11"/>
        <v>0</v>
      </c>
      <c r="E34" s="32">
        <f t="shared" si="12"/>
        <v>0</v>
      </c>
      <c r="F34" s="450">
        <f>Inputs!D42</f>
        <v>0</v>
      </c>
      <c r="G34" s="333">
        <f t="shared" si="13"/>
        <v>0</v>
      </c>
      <c r="H34" s="333">
        <f t="shared" si="14"/>
        <v>0</v>
      </c>
      <c r="I34" s="333">
        <f t="shared" si="15"/>
        <v>0</v>
      </c>
      <c r="J34" s="143">
        <f t="shared" si="16"/>
        <v>0</v>
      </c>
      <c r="K34" s="143">
        <f t="shared" si="17"/>
        <v>0</v>
      </c>
      <c r="L34" s="424">
        <f t="shared" si="18"/>
        <v>0</v>
      </c>
      <c r="M34" s="449">
        <f t="shared" si="7"/>
        <v>0</v>
      </c>
      <c r="N34" s="70"/>
      <c r="O34" s="423">
        <f t="shared" si="8"/>
        <v>0</v>
      </c>
      <c r="P34" s="423">
        <f t="shared" si="9"/>
        <v>0</v>
      </c>
      <c r="Q34" s="423">
        <f t="shared" si="10"/>
        <v>0</v>
      </c>
      <c r="R34" s="296"/>
      <c r="S34" s="296"/>
    </row>
    <row r="35" spans="1:19" x14ac:dyDescent="0.2">
      <c r="A35" s="58" t="s">
        <v>51</v>
      </c>
      <c r="B35" s="304" t="str">
        <f>IF(Inputs!B43="","",Inputs!B43)</f>
        <v/>
      </c>
      <c r="C35" s="27" t="str">
        <f>IF(Inputs!C43="","",Inputs!C43)</f>
        <v/>
      </c>
      <c r="D35" s="32">
        <f t="shared" si="11"/>
        <v>0</v>
      </c>
      <c r="E35" s="32">
        <f t="shared" si="12"/>
        <v>0</v>
      </c>
      <c r="F35" s="450">
        <f>Inputs!D43</f>
        <v>0</v>
      </c>
      <c r="G35" s="333">
        <f t="shared" si="13"/>
        <v>0</v>
      </c>
      <c r="H35" s="333">
        <f t="shared" si="14"/>
        <v>0</v>
      </c>
      <c r="I35" s="333">
        <f t="shared" si="15"/>
        <v>0</v>
      </c>
      <c r="J35" s="143">
        <f t="shared" si="16"/>
        <v>0</v>
      </c>
      <c r="K35" s="143">
        <f t="shared" si="17"/>
        <v>0</v>
      </c>
      <c r="L35" s="424">
        <f t="shared" si="18"/>
        <v>0</v>
      </c>
      <c r="M35" s="449">
        <f t="shared" si="7"/>
        <v>0</v>
      </c>
      <c r="N35" s="70"/>
      <c r="O35" s="423">
        <f t="shared" si="8"/>
        <v>0</v>
      </c>
      <c r="P35" s="423">
        <f t="shared" si="9"/>
        <v>0</v>
      </c>
      <c r="Q35" s="423">
        <f t="shared" si="10"/>
        <v>0</v>
      </c>
      <c r="R35" s="296"/>
      <c r="S35" s="296"/>
    </row>
    <row r="36" spans="1:19" x14ac:dyDescent="0.2">
      <c r="A36" s="58" t="s">
        <v>52</v>
      </c>
      <c r="B36" s="304" t="str">
        <f>IF(Inputs!B44="","",Inputs!B44)</f>
        <v/>
      </c>
      <c r="C36" s="27" t="str">
        <f>IF(Inputs!C44="","",Inputs!C44)</f>
        <v/>
      </c>
      <c r="D36" s="32">
        <f t="shared" si="11"/>
        <v>0</v>
      </c>
      <c r="E36" s="32">
        <f t="shared" si="12"/>
        <v>0</v>
      </c>
      <c r="F36" s="450">
        <f>Inputs!D44</f>
        <v>0</v>
      </c>
      <c r="G36" s="333">
        <f t="shared" si="13"/>
        <v>0</v>
      </c>
      <c r="H36" s="333">
        <f t="shared" si="14"/>
        <v>0</v>
      </c>
      <c r="I36" s="333">
        <f t="shared" si="15"/>
        <v>0</v>
      </c>
      <c r="J36" s="143">
        <f t="shared" si="16"/>
        <v>0</v>
      </c>
      <c r="K36" s="143">
        <f t="shared" si="17"/>
        <v>0</v>
      </c>
      <c r="L36" s="424">
        <f t="shared" si="18"/>
        <v>0</v>
      </c>
      <c r="M36" s="449">
        <f t="shared" si="7"/>
        <v>0</v>
      </c>
      <c r="N36" s="70"/>
      <c r="O36" s="423">
        <f t="shared" si="8"/>
        <v>0</v>
      </c>
      <c r="P36" s="423">
        <f t="shared" si="9"/>
        <v>0</v>
      </c>
      <c r="Q36" s="423">
        <f t="shared" si="10"/>
        <v>0</v>
      </c>
      <c r="R36" s="296"/>
      <c r="S36" s="296"/>
    </row>
    <row r="37" spans="1:19" x14ac:dyDescent="0.2">
      <c r="A37" s="3" t="s">
        <v>53</v>
      </c>
      <c r="B37" s="304" t="str">
        <f>IF(Inputs!B45="","",Inputs!B45)</f>
        <v/>
      </c>
      <c r="C37" s="27" t="str">
        <f>IF(Inputs!C45="","",Inputs!C45)</f>
        <v/>
      </c>
      <c r="D37" s="32">
        <f t="shared" si="11"/>
        <v>0</v>
      </c>
      <c r="E37" s="32">
        <f t="shared" si="12"/>
        <v>0</v>
      </c>
      <c r="F37" s="450">
        <f>Inputs!D45</f>
        <v>0</v>
      </c>
      <c r="G37" s="333">
        <f t="shared" si="13"/>
        <v>0</v>
      </c>
      <c r="H37" s="333">
        <f t="shared" si="14"/>
        <v>0</v>
      </c>
      <c r="I37" s="333">
        <f t="shared" si="15"/>
        <v>0</v>
      </c>
      <c r="J37" s="143">
        <f t="shared" si="16"/>
        <v>0</v>
      </c>
      <c r="K37" s="143">
        <f t="shared" si="17"/>
        <v>0</v>
      </c>
      <c r="L37" s="424">
        <f t="shared" si="18"/>
        <v>0</v>
      </c>
      <c r="M37" s="449">
        <f t="shared" si="7"/>
        <v>0</v>
      </c>
      <c r="N37" s="72"/>
      <c r="O37" s="423">
        <f t="shared" si="8"/>
        <v>0</v>
      </c>
      <c r="P37" s="423">
        <f t="shared" si="9"/>
        <v>0</v>
      </c>
      <c r="Q37" s="423">
        <f t="shared" si="10"/>
        <v>0</v>
      </c>
      <c r="R37" s="296"/>
      <c r="S37" s="297"/>
    </row>
    <row r="38" spans="1:19" x14ac:dyDescent="0.2">
      <c r="A38" s="80" t="s">
        <v>55</v>
      </c>
      <c r="B38" s="80"/>
      <c r="C38" s="91"/>
      <c r="D38" s="84"/>
      <c r="E38" s="84"/>
      <c r="F38" s="104"/>
      <c r="G38" s="104"/>
      <c r="H38" s="104"/>
      <c r="I38" s="104"/>
      <c r="J38" s="24">
        <f>SUM(J17:J37)</f>
        <v>0</v>
      </c>
      <c r="K38" s="24">
        <f>SUM(K17:K37)</f>
        <v>0</v>
      </c>
      <c r="L38" s="425">
        <f>SUM(L17:L37)</f>
        <v>0</v>
      </c>
      <c r="M38" s="87">
        <f t="shared" si="7"/>
        <v>0</v>
      </c>
      <c r="N38" s="336"/>
      <c r="O38" s="423">
        <f t="shared" si="8"/>
        <v>0</v>
      </c>
      <c r="P38" s="423">
        <f t="shared" si="9"/>
        <v>0</v>
      </c>
      <c r="Q38" s="423">
        <f t="shared" si="10"/>
        <v>0</v>
      </c>
      <c r="R38" s="337"/>
      <c r="S38" s="338"/>
    </row>
    <row r="39" spans="1:19" x14ac:dyDescent="0.2">
      <c r="A39" s="80" t="s">
        <v>56</v>
      </c>
      <c r="B39" s="80"/>
      <c r="C39" s="305">
        <f>Inputs!$B$46</f>
        <v>0</v>
      </c>
      <c r="D39" s="84"/>
      <c r="E39" s="84"/>
      <c r="F39" s="104"/>
      <c r="G39" s="104"/>
      <c r="H39" s="104"/>
      <c r="I39" s="104"/>
      <c r="J39" s="61">
        <f>J38*C39</f>
        <v>0</v>
      </c>
      <c r="K39" s="61">
        <f>K38*C39</f>
        <v>0</v>
      </c>
      <c r="L39" s="334">
        <f>L38*C39</f>
        <v>0</v>
      </c>
      <c r="M39" s="87">
        <f t="shared" si="7"/>
        <v>0</v>
      </c>
      <c r="N39" s="72"/>
      <c r="O39" s="423">
        <f t="shared" si="8"/>
        <v>0</v>
      </c>
      <c r="P39" s="423">
        <f t="shared" si="9"/>
        <v>0</v>
      </c>
      <c r="Q39" s="423">
        <f t="shared" si="10"/>
        <v>0</v>
      </c>
    </row>
    <row r="40" spans="1:19" x14ac:dyDescent="0.2">
      <c r="A40" s="339" t="s">
        <v>58</v>
      </c>
      <c r="B40" s="339"/>
      <c r="C40" s="339"/>
      <c r="D40" s="339"/>
      <c r="E40" s="339"/>
      <c r="F40" s="454">
        <f>SUM(F17:F39)</f>
        <v>0</v>
      </c>
      <c r="G40" s="454">
        <f>SUM(G17:G39)</f>
        <v>0</v>
      </c>
      <c r="H40" s="454">
        <f>SUM(H17:H39)</f>
        <v>0</v>
      </c>
      <c r="I40" s="454">
        <f>SUM(I17:I39)</f>
        <v>0</v>
      </c>
      <c r="J40" s="340">
        <f>SUM(J38:J39)</f>
        <v>0</v>
      </c>
      <c r="K40" s="340">
        <f>SUM(K38:K39)</f>
        <v>0</v>
      </c>
      <c r="L40" s="348">
        <f>SUM(L38:L39)</f>
        <v>0</v>
      </c>
      <c r="M40" s="340">
        <f t="shared" si="7"/>
        <v>0</v>
      </c>
      <c r="N40" s="70"/>
      <c r="O40" s="426">
        <f t="shared" si="8"/>
        <v>0</v>
      </c>
      <c r="P40" s="426">
        <f t="shared" si="9"/>
        <v>0</v>
      </c>
      <c r="Q40" s="426">
        <f t="shared" si="10"/>
        <v>0</v>
      </c>
    </row>
    <row r="41" spans="1:19" ht="15" x14ac:dyDescent="0.2">
      <c r="A41" s="67"/>
      <c r="B41" s="68"/>
      <c r="C41" s="68"/>
      <c r="D41" s="68"/>
      <c r="E41" s="68"/>
      <c r="F41" s="68"/>
      <c r="G41" s="68"/>
      <c r="H41" s="68"/>
      <c r="I41" s="68"/>
      <c r="J41" s="74"/>
      <c r="K41" s="74"/>
      <c r="L41" s="74"/>
      <c r="M41" s="349"/>
      <c r="N41" s="70"/>
      <c r="O41" s="100"/>
    </row>
    <row r="42" spans="1:19" x14ac:dyDescent="0.2">
      <c r="A42" s="341" t="s">
        <v>271</v>
      </c>
      <c r="B42" s="342"/>
      <c r="C42" s="342"/>
      <c r="D42" s="342"/>
      <c r="E42" s="342"/>
      <c r="F42" s="342"/>
      <c r="G42" s="324">
        <f>+G16</f>
        <v>2022</v>
      </c>
      <c r="H42" s="324">
        <f>+H16</f>
        <v>2023</v>
      </c>
      <c r="I42" s="324">
        <f>+I16</f>
        <v>2024</v>
      </c>
      <c r="J42" s="342"/>
      <c r="K42" s="332">
        <f>Inputs!$B$18</f>
        <v>0.03</v>
      </c>
      <c r="L42" s="332">
        <f>Inputs!$C$18</f>
        <v>0.03</v>
      </c>
      <c r="M42" s="343"/>
      <c r="N42" s="70"/>
      <c r="O42" s="621">
        <f>+O$5</f>
        <v>2022</v>
      </c>
      <c r="P42" s="621">
        <f t="shared" ref="P42:Q42" si="19">+P$5</f>
        <v>2023</v>
      </c>
      <c r="Q42" s="621">
        <f t="shared" si="19"/>
        <v>2024</v>
      </c>
    </row>
    <row r="43" spans="1:19" x14ac:dyDescent="0.2">
      <c r="A43" s="50" t="s">
        <v>61</v>
      </c>
      <c r="B43" s="45"/>
      <c r="C43" s="3"/>
      <c r="D43" s="351"/>
      <c r="E43" s="3"/>
      <c r="F43" s="344" t="s">
        <v>62</v>
      </c>
      <c r="G43" s="306">
        <f>Inputs!C58</f>
        <v>2000</v>
      </c>
      <c r="H43" s="10"/>
      <c r="I43" s="10"/>
      <c r="J43" s="33">
        <f>G43</f>
        <v>2000</v>
      </c>
      <c r="K43" s="33">
        <f>J43*(1+K$42)</f>
        <v>2060</v>
      </c>
      <c r="L43" s="33">
        <f>K43*(1+L$42)</f>
        <v>2121.8000000000002</v>
      </c>
      <c r="M43" s="87">
        <f t="shared" ref="M43:M63" si="20">J43+K43+L43</f>
        <v>6181.8</v>
      </c>
      <c r="N43" s="70"/>
      <c r="O43" s="423">
        <f t="shared" ref="O43:O63" si="21">+J43/J$150</f>
        <v>5.068676768708423E-2</v>
      </c>
      <c r="P43" s="423">
        <f t="shared" ref="P43:P63" si="22">+K43/K$150</f>
        <v>0.82918739635157546</v>
      </c>
      <c r="Q43" s="423">
        <f t="shared" ref="Q43:Q63" si="23">+L43/L$150</f>
        <v>0.69365012964830264</v>
      </c>
    </row>
    <row r="44" spans="1:19" x14ac:dyDescent="0.2">
      <c r="A44" s="3" t="s">
        <v>64</v>
      </c>
      <c r="B44" s="3"/>
      <c r="C44" s="3"/>
      <c r="D44" s="346" t="s">
        <v>65</v>
      </c>
      <c r="E44" s="3"/>
      <c r="F44" s="350" t="s">
        <v>62</v>
      </c>
      <c r="G44" s="306">
        <f>Inputs!C59</f>
        <v>389.55</v>
      </c>
      <c r="H44" s="12"/>
      <c r="I44" s="12"/>
      <c r="J44" s="33">
        <f>$G44*(J7+J9)</f>
        <v>0</v>
      </c>
      <c r="K44" s="33">
        <f>$G44*(1+K42)*(K7+K9)</f>
        <v>0</v>
      </c>
      <c r="L44" s="33">
        <f>$G44*(1+L42)^2*(L7+L9)</f>
        <v>0</v>
      </c>
      <c r="M44" s="87">
        <f t="shared" si="20"/>
        <v>0</v>
      </c>
      <c r="O44" s="423">
        <f t="shared" si="21"/>
        <v>0</v>
      </c>
      <c r="P44" s="423">
        <f t="shared" si="22"/>
        <v>0</v>
      </c>
      <c r="Q44" s="423">
        <f t="shared" si="23"/>
        <v>0</v>
      </c>
    </row>
    <row r="45" spans="1:19" x14ac:dyDescent="0.2">
      <c r="A45" s="3" t="s">
        <v>66</v>
      </c>
      <c r="B45" s="3"/>
      <c r="C45" s="3"/>
      <c r="D45" s="345" t="s">
        <v>272</v>
      </c>
      <c r="E45" s="3"/>
      <c r="F45" s="350" t="s">
        <v>62</v>
      </c>
      <c r="G45" s="306">
        <f>Inputs!C60</f>
        <v>55</v>
      </c>
      <c r="H45" s="12"/>
      <c r="I45" s="12"/>
      <c r="J45" s="33">
        <f>$G45*(J12*25)</f>
        <v>0</v>
      </c>
      <c r="K45" s="33">
        <f>$G45*(1+K42)*(K12*25)</f>
        <v>0</v>
      </c>
      <c r="L45" s="33">
        <f>$G45*(1+L42)^2*(L12*25)</f>
        <v>0</v>
      </c>
      <c r="M45" s="87">
        <f t="shared" si="20"/>
        <v>0</v>
      </c>
      <c r="N45" s="70"/>
      <c r="O45" s="423">
        <f t="shared" si="21"/>
        <v>0</v>
      </c>
      <c r="P45" s="423">
        <f t="shared" si="22"/>
        <v>0</v>
      </c>
      <c r="Q45" s="423">
        <f t="shared" si="23"/>
        <v>0</v>
      </c>
    </row>
    <row r="46" spans="1:19" x14ac:dyDescent="0.2">
      <c r="A46" s="58" t="s">
        <v>68</v>
      </c>
      <c r="B46" s="58"/>
      <c r="C46" s="3"/>
      <c r="D46" s="345" t="s">
        <v>186</v>
      </c>
      <c r="E46" s="3"/>
      <c r="F46" s="350" t="s">
        <v>62</v>
      </c>
      <c r="G46" s="306">
        <f>Inputs!C61</f>
        <v>750</v>
      </c>
      <c r="H46" s="12"/>
      <c r="I46" s="12"/>
      <c r="J46" s="33">
        <f>G46*J9</f>
        <v>0</v>
      </c>
      <c r="K46" s="33">
        <f>G46*(1+K42)*K9</f>
        <v>0</v>
      </c>
      <c r="L46" s="33">
        <f>G46*(1+L$42)*L9</f>
        <v>0</v>
      </c>
      <c r="M46" s="87">
        <f t="shared" si="20"/>
        <v>0</v>
      </c>
      <c r="N46" s="70"/>
      <c r="O46" s="423">
        <f t="shared" si="21"/>
        <v>0</v>
      </c>
      <c r="P46" s="423">
        <f t="shared" si="22"/>
        <v>0</v>
      </c>
      <c r="Q46" s="423">
        <f t="shared" si="23"/>
        <v>0</v>
      </c>
    </row>
    <row r="47" spans="1:19" x14ac:dyDescent="0.2">
      <c r="A47" s="3" t="s">
        <v>70</v>
      </c>
      <c r="B47" s="3"/>
      <c r="C47" s="3"/>
      <c r="D47" s="345" t="s">
        <v>272</v>
      </c>
      <c r="E47" s="3"/>
      <c r="F47" s="350" t="s">
        <v>62</v>
      </c>
      <c r="G47" s="306">
        <f>Inputs!C62</f>
        <v>71.400000000000006</v>
      </c>
      <c r="H47" s="12"/>
      <c r="I47" s="12"/>
      <c r="J47" s="33">
        <f>$G47*(J12*25)</f>
        <v>0</v>
      </c>
      <c r="K47" s="33">
        <f>$G47*(1+K42)*(K12*25)</f>
        <v>0</v>
      </c>
      <c r="L47" s="33">
        <f>$G47*(1+L42)^2*(L12*25)</f>
        <v>0</v>
      </c>
      <c r="M47" s="87">
        <f t="shared" si="20"/>
        <v>0</v>
      </c>
      <c r="N47" s="70"/>
      <c r="O47" s="423">
        <f t="shared" si="21"/>
        <v>0</v>
      </c>
      <c r="P47" s="423">
        <f t="shared" si="22"/>
        <v>0</v>
      </c>
      <c r="Q47" s="423">
        <f t="shared" si="23"/>
        <v>0</v>
      </c>
    </row>
    <row r="48" spans="1:19" x14ac:dyDescent="0.2">
      <c r="A48" s="3" t="s">
        <v>71</v>
      </c>
      <c r="B48" s="3"/>
      <c r="C48" s="3"/>
      <c r="D48" s="345" t="s">
        <v>272</v>
      </c>
      <c r="E48" s="3"/>
      <c r="F48" s="350" t="s">
        <v>62</v>
      </c>
      <c r="G48" s="306">
        <f>Inputs!C63</f>
        <v>6</v>
      </c>
      <c r="H48" s="12"/>
      <c r="I48" s="12"/>
      <c r="J48" s="33">
        <f>$G48*(J12*25)</f>
        <v>0</v>
      </c>
      <c r="K48" s="33">
        <f>$G48*(1+K42)*(K12*25)</f>
        <v>0</v>
      </c>
      <c r="L48" s="33">
        <f>$G48*(1+L42)^2*(L12*25)</f>
        <v>0</v>
      </c>
      <c r="M48" s="87">
        <f t="shared" si="20"/>
        <v>0</v>
      </c>
      <c r="N48" s="70"/>
      <c r="O48" s="423">
        <f t="shared" si="21"/>
        <v>0</v>
      </c>
      <c r="P48" s="423">
        <f t="shared" si="22"/>
        <v>0</v>
      </c>
      <c r="Q48" s="423">
        <f t="shared" si="23"/>
        <v>0</v>
      </c>
    </row>
    <row r="49" spans="1:17" x14ac:dyDescent="0.2">
      <c r="A49" s="3" t="s">
        <v>72</v>
      </c>
      <c r="B49" s="3"/>
      <c r="C49" s="3"/>
      <c r="D49" s="345" t="s">
        <v>69</v>
      </c>
      <c r="E49" s="3"/>
      <c r="F49" s="350" t="s">
        <v>69</v>
      </c>
      <c r="G49" s="306">
        <f>Inputs!C64</f>
        <v>0</v>
      </c>
      <c r="H49" s="12"/>
      <c r="I49" s="12"/>
      <c r="J49" s="33">
        <f>$G49*12</f>
        <v>0</v>
      </c>
      <c r="K49" s="33">
        <f>J49*(1+K$42)</f>
        <v>0</v>
      </c>
      <c r="L49" s="33">
        <f>K49*(1+L$42)</f>
        <v>0</v>
      </c>
      <c r="M49" s="87">
        <f t="shared" si="20"/>
        <v>0</v>
      </c>
      <c r="N49" s="70"/>
      <c r="O49" s="423">
        <f t="shared" si="21"/>
        <v>0</v>
      </c>
      <c r="P49" s="423">
        <f t="shared" si="22"/>
        <v>0</v>
      </c>
      <c r="Q49" s="423">
        <f t="shared" si="23"/>
        <v>0</v>
      </c>
    </row>
    <row r="50" spans="1:17" x14ac:dyDescent="0.2">
      <c r="A50" s="3" t="s">
        <v>74</v>
      </c>
      <c r="B50" s="3"/>
      <c r="C50" s="3"/>
      <c r="D50" s="345" t="s">
        <v>65</v>
      </c>
      <c r="E50" s="3"/>
      <c r="F50" s="350" t="s">
        <v>62</v>
      </c>
      <c r="G50" s="306">
        <f>Inputs!C65</f>
        <v>540</v>
      </c>
      <c r="H50" s="14"/>
      <c r="I50" s="14"/>
      <c r="J50" s="33">
        <f>$G50*(J7+J9)</f>
        <v>0</v>
      </c>
      <c r="K50" s="33">
        <f>$G50*(1+K42)*(K7+K9)</f>
        <v>0</v>
      </c>
      <c r="L50" s="33">
        <f>$G50*(1+L42)*(L7+L9)</f>
        <v>0</v>
      </c>
      <c r="M50" s="87">
        <f t="shared" si="20"/>
        <v>0</v>
      </c>
      <c r="N50" s="70"/>
      <c r="O50" s="423">
        <f t="shared" si="21"/>
        <v>0</v>
      </c>
      <c r="P50" s="423">
        <f t="shared" si="22"/>
        <v>0</v>
      </c>
      <c r="Q50" s="423">
        <f t="shared" si="23"/>
        <v>0</v>
      </c>
    </row>
    <row r="51" spans="1:17" x14ac:dyDescent="0.2">
      <c r="A51" s="3" t="s">
        <v>188</v>
      </c>
      <c r="B51" s="3"/>
      <c r="C51" s="3"/>
      <c r="D51" s="345" t="s">
        <v>62</v>
      </c>
      <c r="E51" s="3"/>
      <c r="F51" s="350" t="s">
        <v>62</v>
      </c>
      <c r="G51" s="306">
        <f>Inputs!C66</f>
        <v>0</v>
      </c>
      <c r="H51" s="14"/>
      <c r="I51" s="14"/>
      <c r="J51" s="33">
        <f>+G51</f>
        <v>0</v>
      </c>
      <c r="K51" s="33">
        <f>+J51*(1+K$42)</f>
        <v>0</v>
      </c>
      <c r="L51" s="33">
        <f>+K51*(1+L$42)</f>
        <v>0</v>
      </c>
      <c r="M51" s="87">
        <f t="shared" si="20"/>
        <v>0</v>
      </c>
      <c r="N51" s="70"/>
      <c r="O51" s="423">
        <f t="shared" si="21"/>
        <v>0</v>
      </c>
      <c r="P51" s="423">
        <f t="shared" si="22"/>
        <v>0</v>
      </c>
      <c r="Q51" s="423">
        <f t="shared" si="23"/>
        <v>0</v>
      </c>
    </row>
    <row r="52" spans="1:17" x14ac:dyDescent="0.2">
      <c r="A52" s="3" t="s">
        <v>75</v>
      </c>
      <c r="B52" s="3"/>
      <c r="C52" s="3"/>
      <c r="D52" s="345" t="s">
        <v>76</v>
      </c>
      <c r="E52" s="3"/>
      <c r="F52" s="350" t="s">
        <v>77</v>
      </c>
      <c r="G52" s="306">
        <f>Inputs!C67</f>
        <v>432.6</v>
      </c>
      <c r="H52" s="12"/>
      <c r="I52" s="12"/>
      <c r="J52" s="33">
        <f>$G52*J9</f>
        <v>0</v>
      </c>
      <c r="K52" s="33">
        <f>(G52*(1+K42)*J9*0.5)+G52*(1+K42)*(K9-J9)</f>
        <v>0</v>
      </c>
      <c r="L52" s="33">
        <f>(G52*(1+L42)^2*K9*0.5)+G52*(1+L42)^2*(L9-K9)</f>
        <v>0</v>
      </c>
      <c r="M52" s="87">
        <f t="shared" si="20"/>
        <v>0</v>
      </c>
      <c r="N52" s="70"/>
      <c r="O52" s="423">
        <f t="shared" si="21"/>
        <v>0</v>
      </c>
      <c r="P52" s="423">
        <f t="shared" si="22"/>
        <v>0</v>
      </c>
      <c r="Q52" s="423">
        <f t="shared" si="23"/>
        <v>0</v>
      </c>
    </row>
    <row r="53" spans="1:17" x14ac:dyDescent="0.2">
      <c r="A53" s="3" t="s">
        <v>189</v>
      </c>
      <c r="B53" s="3"/>
      <c r="C53" s="3"/>
      <c r="D53" s="345" t="s">
        <v>62</v>
      </c>
      <c r="E53" s="3"/>
      <c r="F53" s="350" t="s">
        <v>62</v>
      </c>
      <c r="G53" s="306">
        <f>Inputs!C68</f>
        <v>0</v>
      </c>
      <c r="H53" s="12"/>
      <c r="I53" s="12"/>
      <c r="J53" s="33">
        <f>+G53</f>
        <v>0</v>
      </c>
      <c r="K53" s="33">
        <f>+J53*(1+K$42)</f>
        <v>0</v>
      </c>
      <c r="L53" s="33">
        <f>+K53*(1+L$42)</f>
        <v>0</v>
      </c>
      <c r="M53" s="87">
        <f t="shared" si="20"/>
        <v>0</v>
      </c>
      <c r="N53" s="70"/>
      <c r="O53" s="423">
        <f t="shared" si="21"/>
        <v>0</v>
      </c>
      <c r="P53" s="423">
        <f t="shared" si="22"/>
        <v>0</v>
      </c>
      <c r="Q53" s="423">
        <f t="shared" si="23"/>
        <v>0</v>
      </c>
    </row>
    <row r="54" spans="1:17" x14ac:dyDescent="0.2">
      <c r="A54" s="3" t="s">
        <v>190</v>
      </c>
      <c r="B54" s="3"/>
      <c r="C54" s="3"/>
      <c r="D54" s="345" t="s">
        <v>62</v>
      </c>
      <c r="E54" s="3"/>
      <c r="F54" s="350" t="s">
        <v>62</v>
      </c>
      <c r="G54" s="306">
        <f>Inputs!C69</f>
        <v>0</v>
      </c>
      <c r="H54" s="12"/>
      <c r="I54" s="12"/>
      <c r="J54" s="33">
        <f>+G54</f>
        <v>0</v>
      </c>
      <c r="K54" s="33">
        <f>+J54</f>
        <v>0</v>
      </c>
      <c r="L54" s="33">
        <f>+J54</f>
        <v>0</v>
      </c>
      <c r="M54" s="87">
        <f t="shared" si="20"/>
        <v>0</v>
      </c>
      <c r="N54" s="70"/>
      <c r="O54" s="423">
        <f t="shared" si="21"/>
        <v>0</v>
      </c>
      <c r="P54" s="423">
        <f t="shared" si="22"/>
        <v>0</v>
      </c>
      <c r="Q54" s="423">
        <f t="shared" si="23"/>
        <v>0</v>
      </c>
    </row>
    <row r="55" spans="1:17" x14ac:dyDescent="0.2">
      <c r="A55" s="3" t="s">
        <v>78</v>
      </c>
      <c r="B55" s="3"/>
      <c r="C55" s="3"/>
      <c r="D55" s="345" t="s">
        <v>65</v>
      </c>
      <c r="E55" s="3"/>
      <c r="F55" s="350" t="s">
        <v>62</v>
      </c>
      <c r="G55" s="306">
        <f>Inputs!C70</f>
        <v>540.75</v>
      </c>
      <c r="H55" s="12"/>
      <c r="I55" s="12"/>
      <c r="J55" s="33">
        <f>$G55*(J7+J9)</f>
        <v>0</v>
      </c>
      <c r="K55" s="33">
        <f>G55*(1+K$42)*(K7+K9)</f>
        <v>0</v>
      </c>
      <c r="L55" s="33">
        <f>G55*(1+L$42)^2*(L7+L9)</f>
        <v>0</v>
      </c>
      <c r="M55" s="87">
        <f t="shared" si="20"/>
        <v>0</v>
      </c>
      <c r="N55" s="70"/>
      <c r="O55" s="423">
        <f t="shared" si="21"/>
        <v>0</v>
      </c>
      <c r="P55" s="423">
        <f t="shared" si="22"/>
        <v>0</v>
      </c>
      <c r="Q55" s="423">
        <f t="shared" si="23"/>
        <v>0</v>
      </c>
    </row>
    <row r="56" spans="1:17" x14ac:dyDescent="0.2">
      <c r="A56" s="3" t="s">
        <v>80</v>
      </c>
      <c r="B56" s="3"/>
      <c r="C56" s="3"/>
      <c r="D56" s="347" t="s">
        <v>81</v>
      </c>
      <c r="E56" s="3"/>
      <c r="F56" s="14"/>
      <c r="G56" s="306">
        <f>Inputs!C71</f>
        <v>20</v>
      </c>
      <c r="H56" s="307">
        <f>Inputs!D71</f>
        <v>0.57499999999999996</v>
      </c>
      <c r="I56" s="12"/>
      <c r="J56" s="33">
        <f>$G56*H56*J12*25*20</f>
        <v>0</v>
      </c>
      <c r="K56" s="33">
        <f>$G56*H56*(1+K42)*K12*25*20</f>
        <v>0</v>
      </c>
      <c r="L56" s="33">
        <f>$G56*H56*(1+L42)^2*L12*25*20</f>
        <v>0</v>
      </c>
      <c r="M56" s="87">
        <f t="shared" si="20"/>
        <v>0</v>
      </c>
      <c r="N56" s="70"/>
      <c r="O56" s="423">
        <f t="shared" si="21"/>
        <v>0</v>
      </c>
      <c r="P56" s="423">
        <f t="shared" si="22"/>
        <v>0</v>
      </c>
      <c r="Q56" s="423">
        <f t="shared" si="23"/>
        <v>0</v>
      </c>
    </row>
    <row r="57" spans="1:17" x14ac:dyDescent="0.2">
      <c r="A57" s="208" t="s">
        <v>273</v>
      </c>
      <c r="B57" s="347"/>
      <c r="C57" s="347" t="s">
        <v>274</v>
      </c>
      <c r="D57" s="3"/>
      <c r="E57" s="3"/>
      <c r="F57" s="3"/>
      <c r="G57" s="632">
        <f>IFERROR(VLOOKUP(ROUNDUP(J$10,0),Fees!$B$16:$I$22,(MATCH(G$42,Fees!$D$1:$I$1,FALSE)+2),FALSE),0)</f>
        <v>0</v>
      </c>
      <c r="H57" s="632">
        <f>IFERROR(VLOOKUP(ROUNDUP(K$10,0),Fees!$B$16:$I$22,(MATCH(H$42,Fees!$D$1:$I$1,FALSE)+2),FALSE),0)</f>
        <v>0</v>
      </c>
      <c r="I57" s="632">
        <f>IFERROR(VLOOKUP(ROUNDUP(L$10,0),Fees!$B$16:$I$22,(MATCH(I$42,Fees!$D$1:$I$1,FALSE)+2),FALSE),0)</f>
        <v>0</v>
      </c>
      <c r="J57" s="33">
        <f t="shared" ref="J57:L59" si="24">G57</f>
        <v>0</v>
      </c>
      <c r="K57" s="33">
        <f t="shared" si="24"/>
        <v>0</v>
      </c>
      <c r="L57" s="33">
        <f t="shared" si="24"/>
        <v>0</v>
      </c>
      <c r="M57" s="87">
        <f t="shared" si="20"/>
        <v>0</v>
      </c>
      <c r="N57" s="70"/>
      <c r="O57" s="423">
        <f t="shared" si="21"/>
        <v>0</v>
      </c>
      <c r="P57" s="423">
        <f t="shared" si="22"/>
        <v>0</v>
      </c>
      <c r="Q57" s="423">
        <f t="shared" si="23"/>
        <v>0</v>
      </c>
    </row>
    <row r="58" spans="1:17" x14ac:dyDescent="0.2">
      <c r="A58" s="208" t="s">
        <v>273</v>
      </c>
      <c r="B58" s="633">
        <f>Inputs!B35</f>
        <v>0</v>
      </c>
      <c r="C58" s="347" t="s">
        <v>275</v>
      </c>
      <c r="D58" s="3"/>
      <c r="E58" s="3"/>
      <c r="F58" s="3"/>
      <c r="G58" s="632">
        <f>IFERROR(IF($B$58="yes",(VLOOKUP(ROUNDUP(J11,0),Fees!$B$25:$I$31,(MATCH(G$42,Fees!$D$1:$I$1,FALSE)+2),FALSE)),0),0)</f>
        <v>0</v>
      </c>
      <c r="H58" s="632">
        <f>IFERROR(IF($B$58="yes",(VLOOKUP(ROUNDUP(K11,0),Fees!$B$25:$I$31,(MATCH(H$42,Fees!$D$1:$I$1,FALSE)+2),FALSE)),0),0)</f>
        <v>0</v>
      </c>
      <c r="I58" s="632">
        <f>IFERROR(IF($B$58="yes",(VLOOKUP(ROUNDUP(L11,0),Fees!$B$25:$I$31,(MATCH(I$42,Fees!$D$1:$I$1,FALSE)+2),FALSE)),0),0)</f>
        <v>0</v>
      </c>
      <c r="J58" s="33">
        <f t="shared" si="24"/>
        <v>0</v>
      </c>
      <c r="K58" s="33">
        <f t="shared" si="24"/>
        <v>0</v>
      </c>
      <c r="L58" s="33">
        <f t="shared" si="24"/>
        <v>0</v>
      </c>
      <c r="M58" s="87">
        <f t="shared" si="20"/>
        <v>0</v>
      </c>
      <c r="N58" s="70"/>
      <c r="O58" s="423">
        <f t="shared" si="21"/>
        <v>0</v>
      </c>
      <c r="P58" s="423">
        <f t="shared" si="22"/>
        <v>0</v>
      </c>
      <c r="Q58" s="423">
        <f t="shared" si="23"/>
        <v>0</v>
      </c>
    </row>
    <row r="59" spans="1:17" x14ac:dyDescent="0.2">
      <c r="A59" s="208" t="s">
        <v>273</v>
      </c>
      <c r="B59" s="347"/>
      <c r="C59" s="347" t="s">
        <v>276</v>
      </c>
      <c r="D59" s="3"/>
      <c r="E59" s="3"/>
      <c r="F59" s="3"/>
      <c r="G59" s="632">
        <f>IFERROR(IF($B$58="no",(VLOOKUP(ROUNDUP(J11,0),Fees!$B$16:$I$22,(MATCH(G$42,Fees!$D$1:$I$1,FALSE)+2),FALSE)),0),0)</f>
        <v>0</v>
      </c>
      <c r="H59" s="632">
        <f>IFERROR(IF($B$58="no",(VLOOKUP(ROUNDUP(K11,0),Fees!$B$16:$I$22,(MATCH(H$42,Fees!$D$1:$I$1,FALSE)+2),FALSE)),0),0)</f>
        <v>0</v>
      </c>
      <c r="I59" s="632">
        <f>IFERROR(IF($B$58="no",(VLOOKUP(ROUNDUP(L11,0),Fees!$B$16:$I$22,(MATCH(I$42,Fees!$D$1:$I$1,FALSE)+2),FALSE)),0),0)</f>
        <v>0</v>
      </c>
      <c r="J59" s="33">
        <f t="shared" si="24"/>
        <v>0</v>
      </c>
      <c r="K59" s="33">
        <f t="shared" si="24"/>
        <v>0</v>
      </c>
      <c r="L59" s="33">
        <f t="shared" si="24"/>
        <v>0</v>
      </c>
      <c r="M59" s="87">
        <f t="shared" si="20"/>
        <v>0</v>
      </c>
      <c r="N59" s="70"/>
      <c r="O59" s="423">
        <f t="shared" si="21"/>
        <v>0</v>
      </c>
      <c r="P59" s="423">
        <f t="shared" si="22"/>
        <v>0</v>
      </c>
      <c r="Q59" s="423">
        <f t="shared" si="23"/>
        <v>0</v>
      </c>
    </row>
    <row r="60" spans="1:17" x14ac:dyDescent="0.2">
      <c r="A60" s="134" t="s">
        <v>55</v>
      </c>
      <c r="B60" s="134"/>
      <c r="C60" s="134"/>
      <c r="D60" s="134"/>
      <c r="E60" s="134"/>
      <c r="F60" s="134"/>
      <c r="G60" s="134"/>
      <c r="H60" s="134"/>
      <c r="I60" s="134"/>
      <c r="J60" s="24">
        <f>SUM(J43:J59)</f>
        <v>2000</v>
      </c>
      <c r="K60" s="24">
        <f>SUM(K43:K59)</f>
        <v>2060</v>
      </c>
      <c r="L60" s="24">
        <f>SUM(L43:L59)</f>
        <v>2121.8000000000002</v>
      </c>
      <c r="M60" s="87">
        <f t="shared" si="20"/>
        <v>6181.8</v>
      </c>
      <c r="O60" s="423">
        <f t="shared" si="21"/>
        <v>5.068676768708423E-2</v>
      </c>
      <c r="P60" s="423">
        <f t="shared" si="22"/>
        <v>0.82918739635157546</v>
      </c>
      <c r="Q60" s="423">
        <f t="shared" si="23"/>
        <v>0.69365012964830264</v>
      </c>
    </row>
    <row r="61" spans="1:17" x14ac:dyDescent="0.2">
      <c r="A61" s="80" t="s">
        <v>56</v>
      </c>
      <c r="B61" s="80"/>
      <c r="C61" s="106">
        <f>Inputs!$C$84</f>
        <v>0</v>
      </c>
      <c r="D61" s="77"/>
      <c r="E61" s="77"/>
      <c r="F61" s="105"/>
      <c r="G61" s="105"/>
      <c r="H61" s="105"/>
      <c r="I61" s="105"/>
      <c r="J61" s="61">
        <f>J60*$C$61</f>
        <v>0</v>
      </c>
      <c r="K61" s="61">
        <f>K60*$C$61</f>
        <v>0</v>
      </c>
      <c r="L61" s="61">
        <f>L60*$C$61</f>
        <v>0</v>
      </c>
      <c r="M61" s="87">
        <f t="shared" si="20"/>
        <v>0</v>
      </c>
      <c r="N61" s="72"/>
      <c r="O61" s="423">
        <f t="shared" si="21"/>
        <v>0</v>
      </c>
      <c r="P61" s="423">
        <f t="shared" si="22"/>
        <v>0</v>
      </c>
      <c r="Q61" s="423">
        <f t="shared" si="23"/>
        <v>0</v>
      </c>
    </row>
    <row r="62" spans="1:17" x14ac:dyDescent="0.2">
      <c r="A62" s="355" t="s">
        <v>85</v>
      </c>
      <c r="B62" s="355"/>
      <c r="C62" s="356"/>
      <c r="D62" s="357"/>
      <c r="E62" s="357"/>
      <c r="F62" s="358"/>
      <c r="G62" s="358"/>
      <c r="H62" s="358"/>
      <c r="I62" s="358"/>
      <c r="J62" s="359">
        <f>SUM(J60:J61)</f>
        <v>2000</v>
      </c>
      <c r="K62" s="359">
        <f>SUM(K60:K61)</f>
        <v>2060</v>
      </c>
      <c r="L62" s="359">
        <f>SUM(L60:L61)</f>
        <v>2121.8000000000002</v>
      </c>
      <c r="M62" s="360">
        <f t="shared" si="20"/>
        <v>6181.8</v>
      </c>
      <c r="N62" s="70"/>
      <c r="O62" s="426">
        <f t="shared" si="21"/>
        <v>5.068676768708423E-2</v>
      </c>
      <c r="P62" s="426">
        <f t="shared" si="22"/>
        <v>0.82918739635157546</v>
      </c>
      <c r="Q62" s="426">
        <f t="shared" si="23"/>
        <v>0.69365012964830264</v>
      </c>
    </row>
    <row r="63" spans="1:17" x14ac:dyDescent="0.2">
      <c r="A63" s="361" t="s">
        <v>86</v>
      </c>
      <c r="B63" s="361"/>
      <c r="C63" s="361"/>
      <c r="D63" s="361"/>
      <c r="E63" s="361"/>
      <c r="F63" s="361"/>
      <c r="G63" s="361"/>
      <c r="H63" s="361"/>
      <c r="I63" s="361"/>
      <c r="J63" s="340">
        <f>SUM(J40,J62)</f>
        <v>2000</v>
      </c>
      <c r="K63" s="340">
        <f>SUM(K40,K62)</f>
        <v>2060</v>
      </c>
      <c r="L63" s="340">
        <f>SUM(L40,L62)</f>
        <v>2121.8000000000002</v>
      </c>
      <c r="M63" s="340">
        <f t="shared" si="20"/>
        <v>6181.8</v>
      </c>
      <c r="N63" s="70"/>
      <c r="O63" s="426">
        <f t="shared" si="21"/>
        <v>5.068676768708423E-2</v>
      </c>
      <c r="P63" s="426">
        <f t="shared" si="22"/>
        <v>0.82918739635157546</v>
      </c>
      <c r="Q63" s="426">
        <f t="shared" si="23"/>
        <v>0.69365012964830264</v>
      </c>
    </row>
    <row r="64" spans="1:17" x14ac:dyDescent="0.2">
      <c r="A64" s="107"/>
      <c r="B64" s="55"/>
      <c r="C64" s="55"/>
      <c r="D64" s="55"/>
      <c r="E64" s="55"/>
      <c r="F64" s="55"/>
      <c r="G64" s="55"/>
      <c r="H64" s="55"/>
      <c r="I64" s="55"/>
      <c r="J64" s="62"/>
      <c r="K64" s="62"/>
      <c r="L64" s="62"/>
      <c r="M64" s="349"/>
      <c r="N64" s="70"/>
    </row>
    <row r="65" spans="1:17" s="19" customFormat="1" x14ac:dyDescent="0.2">
      <c r="A65" s="341" t="s">
        <v>87</v>
      </c>
      <c r="B65" s="342"/>
      <c r="C65" s="342"/>
      <c r="D65" s="324">
        <f>YEAR(J5)</f>
        <v>2022</v>
      </c>
      <c r="E65" s="324">
        <f>YEAR(K5)</f>
        <v>2023</v>
      </c>
      <c r="F65" s="324">
        <f>YEAR(L5)</f>
        <v>2024</v>
      </c>
      <c r="G65" s="324">
        <f>+G42</f>
        <v>2022</v>
      </c>
      <c r="H65" s="324">
        <f t="shared" ref="H65:I65" si="25">+H42</f>
        <v>2023</v>
      </c>
      <c r="I65" s="324">
        <f t="shared" si="25"/>
        <v>2024</v>
      </c>
      <c r="J65" s="324">
        <f>D65</f>
        <v>2022</v>
      </c>
      <c r="K65" s="324">
        <f>E65</f>
        <v>2023</v>
      </c>
      <c r="L65" s="324">
        <f>F65</f>
        <v>2024</v>
      </c>
      <c r="M65" s="362"/>
      <c r="N65" s="69"/>
      <c r="O65" s="621">
        <f>+O$5</f>
        <v>2022</v>
      </c>
      <c r="P65" s="621">
        <f t="shared" ref="P65:Q65" si="26">+P$5</f>
        <v>2023</v>
      </c>
      <c r="Q65" s="621">
        <f t="shared" si="26"/>
        <v>2024</v>
      </c>
    </row>
    <row r="66" spans="1:17" x14ac:dyDescent="0.2">
      <c r="A66" s="50" t="s">
        <v>88</v>
      </c>
      <c r="B66" s="50"/>
      <c r="C66" s="45"/>
      <c r="D66" s="3"/>
      <c r="E66" s="364"/>
      <c r="F66" s="364"/>
      <c r="G66" s="53">
        <f>IFERROR(HLOOKUP(D$65,Fees!$D$1:$F$2,2,FALSE),0)</f>
        <v>32791.08</v>
      </c>
      <c r="H66" s="363"/>
      <c r="I66" s="363"/>
      <c r="J66" s="33">
        <f>G66</f>
        <v>32791.08</v>
      </c>
      <c r="K66" s="30"/>
      <c r="L66" s="30"/>
      <c r="M66" s="87">
        <f t="shared" ref="M66:M82" si="27">J66+K66+L66</f>
        <v>32791.08</v>
      </c>
      <c r="N66" s="70"/>
      <c r="O66" s="423">
        <f t="shared" ref="O66:O88" si="28">+J66/J$150</f>
        <v>0.83103692708429699</v>
      </c>
      <c r="P66" s="423">
        <f t="shared" ref="P66:P88" si="29">+K66/K$150</f>
        <v>0</v>
      </c>
      <c r="Q66" s="423">
        <f t="shared" ref="Q66:Q88" si="30">+L66/L$150</f>
        <v>0</v>
      </c>
    </row>
    <row r="67" spans="1:17" x14ac:dyDescent="0.2">
      <c r="A67" s="50" t="s">
        <v>277</v>
      </c>
      <c r="B67" s="50"/>
      <c r="C67" s="3"/>
      <c r="D67" s="345" t="s">
        <v>278</v>
      </c>
      <c r="E67" s="3"/>
      <c r="F67" s="3"/>
      <c r="G67" s="53">
        <f>IFERROR(HLOOKUP(D65,Fees!$D$1:$I$36,Fees!$A$35,FALSE),0)</f>
        <v>20374</v>
      </c>
      <c r="H67" s="53">
        <f>IFERROR(HLOOKUP(E65,Fees!$D$1:$I$36,Fees!$A$35,FALSE),0)</f>
        <v>20985.22</v>
      </c>
      <c r="I67" s="53">
        <f>IFERROR(HLOOKUP(F65,Fees!$D$1:$I$36,Fees!$A$35,FALSE),0)</f>
        <v>21614.776600000001</v>
      </c>
      <c r="J67" s="33">
        <f>IF(AND($B$28&lt;$K$5,Inputs!$B$35="Yes"),Calc!G67,0)</f>
        <v>0</v>
      </c>
      <c r="K67" s="33">
        <f>IF($B$58="Yes",(K$7-J$7)*H67,0)</f>
        <v>0</v>
      </c>
      <c r="L67" s="33">
        <f>IF($B$58="Yes",(L$7-K$7)*I67,0)</f>
        <v>0</v>
      </c>
      <c r="M67" s="87">
        <f t="shared" si="27"/>
        <v>0</v>
      </c>
      <c r="N67" s="70"/>
      <c r="O67" s="423">
        <f t="shared" si="28"/>
        <v>0</v>
      </c>
      <c r="P67" s="423">
        <f t="shared" si="29"/>
        <v>0</v>
      </c>
      <c r="Q67" s="423">
        <f t="shared" si="30"/>
        <v>0</v>
      </c>
    </row>
    <row r="68" spans="1:17" x14ac:dyDescent="0.2">
      <c r="A68" s="50" t="s">
        <v>279</v>
      </c>
      <c r="B68" s="50"/>
      <c r="C68" s="3"/>
      <c r="D68" s="345" t="s">
        <v>280</v>
      </c>
      <c r="E68" s="3"/>
      <c r="F68" s="3"/>
      <c r="G68" s="53">
        <f>IFERROR(HLOOKUP(D65,Fees!$D$1:$I$36,Fees!$A$36,FALSE),0)</f>
        <v>25468</v>
      </c>
      <c r="H68" s="53">
        <f>IFERROR(HLOOKUP(E65,Fees!$D$1:$I$36,Fees!$A$36,FALSE),0)</f>
        <v>26232.04</v>
      </c>
      <c r="I68" s="53">
        <f>IFERROR(HLOOKUP(F65,Fees!$D$1:$I$36,Fees!$A$36,FALSE),0)</f>
        <v>27019.001200000002</v>
      </c>
      <c r="J68" s="33">
        <f>IF(AND($B$28&lt;$K$5,Inputs!$B$35="No"),Calc!G68,0)</f>
        <v>0</v>
      </c>
      <c r="K68" s="33">
        <f>IF($B$58="No",(K$7-J$7)*H68,0)</f>
        <v>0</v>
      </c>
      <c r="L68" s="33">
        <f>IF($B$58="No",(L$7-K$7)*I68,0)</f>
        <v>0</v>
      </c>
      <c r="M68" s="87">
        <f t="shared" si="27"/>
        <v>0</v>
      </c>
      <c r="N68" s="70"/>
      <c r="O68" s="423">
        <f t="shared" si="28"/>
        <v>0</v>
      </c>
      <c r="P68" s="423">
        <f t="shared" si="29"/>
        <v>0</v>
      </c>
      <c r="Q68" s="423">
        <f t="shared" si="30"/>
        <v>0</v>
      </c>
    </row>
    <row r="69" spans="1:17" x14ac:dyDescent="0.2">
      <c r="A69" s="108" t="s">
        <v>89</v>
      </c>
      <c r="B69" s="447"/>
      <c r="C69" s="3"/>
      <c r="D69" s="345" t="s">
        <v>90</v>
      </c>
      <c r="E69" s="3"/>
      <c r="F69" s="3"/>
      <c r="G69" s="27">
        <f>IFERROR(HLOOKUP(D$65,Fees!$D$1:$I$11,Fees!$A$5,FALSE),0)</f>
        <v>5254</v>
      </c>
      <c r="H69" s="27">
        <f>IFERROR(HLOOKUP(E$65,Fees!$D$1:$I$11,Fees!$A$5,FALSE),0)</f>
        <v>5411.62</v>
      </c>
      <c r="I69" s="27">
        <f>IFERROR(HLOOKUP(F$65,Fees!$D$1:$I$11,Fees!$A$5,FALSE),0)</f>
        <v>5573.9686000000002</v>
      </c>
      <c r="J69" s="33">
        <f>$G69*J9</f>
        <v>0</v>
      </c>
      <c r="K69" s="33">
        <f>H69*(K9-J9)</f>
        <v>0</v>
      </c>
      <c r="L69" s="33">
        <f>I69*(L9-K9)</f>
        <v>0</v>
      </c>
      <c r="M69" s="87">
        <f t="shared" si="27"/>
        <v>0</v>
      </c>
      <c r="N69" s="70"/>
      <c r="O69" s="423">
        <f t="shared" si="28"/>
        <v>0</v>
      </c>
      <c r="P69" s="423">
        <f t="shared" si="29"/>
        <v>0</v>
      </c>
      <c r="Q69" s="423">
        <f t="shared" si="30"/>
        <v>0</v>
      </c>
    </row>
    <row r="70" spans="1:17" x14ac:dyDescent="0.2">
      <c r="A70" s="108" t="s">
        <v>91</v>
      </c>
      <c r="B70" s="447" t="str">
        <f>+Fees!B12</f>
        <v>Total Supervisor training</v>
      </c>
      <c r="C70" s="3"/>
      <c r="D70" s="345" t="s">
        <v>92</v>
      </c>
      <c r="E70" s="3"/>
      <c r="F70" s="3"/>
      <c r="G70" s="27">
        <f>IFERROR(VLOOKUP($B70,Fees!$B$1:$I$12,(MATCH(G$65,Fees!$D$1:$I$1,FALSE)+2),FALSE),0)</f>
        <v>6204</v>
      </c>
      <c r="H70" s="27">
        <f>IFERROR(VLOOKUP($B70,Fees!$B$1:$I$12,(MATCH(H$65,Fees!$D$1:$I$1,FALSE)+2),FALSE),0)</f>
        <v>6390.12</v>
      </c>
      <c r="I70" s="27">
        <f>IFERROR(VLOOKUP($B70,Fees!$B$1:$I$12,(MATCH(I$65,Fees!$D$1:$I$1,FALSE)+2),FALSE),0)</f>
        <v>6581.8235999999997</v>
      </c>
      <c r="J70" s="33">
        <f>$G70*J7</f>
        <v>0</v>
      </c>
      <c r="K70" s="33">
        <f>H70*(K7-J7)</f>
        <v>0</v>
      </c>
      <c r="L70" s="33">
        <f>I70*(L7-K7)</f>
        <v>0</v>
      </c>
      <c r="M70" s="87">
        <f t="shared" si="27"/>
        <v>0</v>
      </c>
      <c r="N70" s="70"/>
      <c r="O70" s="423">
        <f t="shared" si="28"/>
        <v>0</v>
      </c>
      <c r="P70" s="423">
        <f t="shared" si="29"/>
        <v>0</v>
      </c>
      <c r="Q70" s="423">
        <f t="shared" si="30"/>
        <v>0</v>
      </c>
    </row>
    <row r="71" spans="1:17" x14ac:dyDescent="0.2">
      <c r="A71" s="108" t="s">
        <v>93</v>
      </c>
      <c r="B71" s="447"/>
      <c r="C71" s="3"/>
      <c r="D71" s="345" t="s">
        <v>94</v>
      </c>
      <c r="E71" s="3"/>
      <c r="F71" s="3"/>
      <c r="G71" s="27">
        <f>IFERROR(HLOOKUP(D$65,Fees!$D$1:$I$11,Fees!$A$9,FALSE),0)</f>
        <v>621</v>
      </c>
      <c r="H71" s="27">
        <f>IFERROR(HLOOKUP(E$65,Fees!$D$1:$I$11,Fees!$A$9,FALSE),0)</f>
        <v>639.63</v>
      </c>
      <c r="I71" s="27">
        <f>IFERROR(HLOOKUP(F$65,Fees!$D$1:$I$11,Fees!$A$9,FALSE),0)</f>
        <v>658.81889999999999</v>
      </c>
      <c r="J71" s="33">
        <f>G71*J6</f>
        <v>0</v>
      </c>
      <c r="K71" s="201">
        <f>H71*(K6-J6)</f>
        <v>0</v>
      </c>
      <c r="L71" s="201">
        <f>I71*(L6-K6)</f>
        <v>0</v>
      </c>
      <c r="M71" s="87">
        <f t="shared" si="27"/>
        <v>0</v>
      </c>
      <c r="N71" s="70"/>
      <c r="O71" s="423">
        <f t="shared" si="28"/>
        <v>0</v>
      </c>
      <c r="P71" s="423">
        <f t="shared" si="29"/>
        <v>0</v>
      </c>
      <c r="Q71" s="423">
        <f t="shared" si="30"/>
        <v>0</v>
      </c>
    </row>
    <row r="72" spans="1:17" x14ac:dyDescent="0.2">
      <c r="A72" s="108" t="s">
        <v>96</v>
      </c>
      <c r="B72" s="447"/>
      <c r="C72" s="3"/>
      <c r="D72" s="367" t="s">
        <v>97</v>
      </c>
      <c r="E72" s="3"/>
      <c r="F72" s="3"/>
      <c r="G72" s="27">
        <f>IFERROR(HLOOKUP(D$65,Fees!$D$1:$I$11,Fees!$A$6,FALSE),0)</f>
        <v>667</v>
      </c>
      <c r="H72" s="27">
        <f>IFERROR(HLOOKUP(E$65,Fees!$D$1:$I$11,Fees!$A$6,FALSE),0)</f>
        <v>687.01</v>
      </c>
      <c r="I72" s="27">
        <f>IFERROR(HLOOKUP(F$65,Fees!$D$1:$I$11,Fees!$A$6,FALSE),0)</f>
        <v>707.62030000000004</v>
      </c>
      <c r="J72" s="33">
        <f>$G72*(J7+J9)</f>
        <v>0</v>
      </c>
      <c r="K72" s="33">
        <f>$H72*((K7+K9)-(J7+J9))</f>
        <v>0</v>
      </c>
      <c r="L72" s="33">
        <f>$I72*((L7+L9)-(K7+K9))</f>
        <v>0</v>
      </c>
      <c r="M72" s="87">
        <f t="shared" si="27"/>
        <v>0</v>
      </c>
      <c r="N72" s="70"/>
      <c r="O72" s="423">
        <f t="shared" si="28"/>
        <v>0</v>
      </c>
      <c r="P72" s="423">
        <f t="shared" si="29"/>
        <v>0</v>
      </c>
      <c r="Q72" s="423">
        <f t="shared" si="30"/>
        <v>0</v>
      </c>
    </row>
    <row r="73" spans="1:17" x14ac:dyDescent="0.2">
      <c r="A73" s="3" t="s">
        <v>98</v>
      </c>
      <c r="B73" s="448" t="s">
        <v>100</v>
      </c>
      <c r="C73" s="3"/>
      <c r="D73" s="345" t="s">
        <v>99</v>
      </c>
      <c r="E73" s="3"/>
      <c r="F73" s="12"/>
      <c r="G73" s="306">
        <f>Inputs!C73</f>
        <v>2000</v>
      </c>
      <c r="H73" s="365"/>
      <c r="I73" s="365"/>
      <c r="J73" s="33">
        <f>$G$73*($J$7+$J$9+$J$13)</f>
        <v>0</v>
      </c>
      <c r="K73" s="33">
        <f>H$73*(1+$K$42)*(($K$7+$K$9+$K$13)-($J$7+$J$9+$J$13))</f>
        <v>0</v>
      </c>
      <c r="L73" s="33">
        <f>I$73*(1+$L$42)^2*(($L$7+$L$9+$L$13)-($K$7+$K$9+$K$13))</f>
        <v>0</v>
      </c>
      <c r="M73" s="87">
        <f t="shared" si="27"/>
        <v>0</v>
      </c>
      <c r="N73" s="70"/>
      <c r="O73" s="423">
        <f t="shared" si="28"/>
        <v>0</v>
      </c>
      <c r="P73" s="423">
        <f t="shared" si="29"/>
        <v>0</v>
      </c>
      <c r="Q73" s="423">
        <f t="shared" si="30"/>
        <v>0</v>
      </c>
    </row>
    <row r="74" spans="1:17" x14ac:dyDescent="0.2">
      <c r="A74" s="58" t="s">
        <v>192</v>
      </c>
      <c r="B74" s="448" t="s">
        <v>100</v>
      </c>
      <c r="C74" s="3"/>
      <c r="D74" s="345" t="s">
        <v>65</v>
      </c>
      <c r="E74" s="3"/>
      <c r="F74" s="12"/>
      <c r="G74" s="306">
        <f>Inputs!C74</f>
        <v>600</v>
      </c>
      <c r="H74" s="366"/>
      <c r="I74" s="366"/>
      <c r="J74" s="33">
        <f>$G$74*($J$7+$J$9)</f>
        <v>0</v>
      </c>
      <c r="K74" s="33">
        <f>H$74*(1+$K$42)*(($K$7+$K$9)-($J$7+$J$9))</f>
        <v>0</v>
      </c>
      <c r="L74" s="33">
        <f>I$74*(1+$L$42)^2*(($L$7+$L$9)-($K$7+$K$9))</f>
        <v>0</v>
      </c>
      <c r="M74" s="87">
        <f t="shared" si="27"/>
        <v>0</v>
      </c>
      <c r="N74" s="70"/>
      <c r="O74" s="423">
        <f t="shared" si="28"/>
        <v>0</v>
      </c>
      <c r="P74" s="423">
        <f t="shared" si="29"/>
        <v>0</v>
      </c>
      <c r="Q74" s="423">
        <f t="shared" si="30"/>
        <v>0</v>
      </c>
    </row>
    <row r="75" spans="1:17" x14ac:dyDescent="0.2">
      <c r="A75" s="58" t="s">
        <v>281</v>
      </c>
      <c r="B75" s="368"/>
      <c r="C75" s="3"/>
      <c r="D75" s="345" t="s">
        <v>65</v>
      </c>
      <c r="E75" s="45"/>
      <c r="F75" s="12"/>
      <c r="G75" s="306">
        <f>Inputs!C75</f>
        <v>500</v>
      </c>
      <c r="H75" s="13"/>
      <c r="I75" s="13"/>
      <c r="J75" s="33">
        <f>$G$75*($J$7+$J$9)</f>
        <v>0</v>
      </c>
      <c r="K75" s="33">
        <f>$G$75*(1+$K$42)*(($K$7+$K$9)-($J$7+$J$9))</f>
        <v>0</v>
      </c>
      <c r="L75" s="33">
        <f>$G$75*(1+$L$42)^2*(($L$7+$L$9)-($K$7+$K$9))</f>
        <v>0</v>
      </c>
      <c r="M75" s="87">
        <f t="shared" si="27"/>
        <v>0</v>
      </c>
      <c r="N75" s="70"/>
      <c r="O75" s="423">
        <f t="shared" si="28"/>
        <v>0</v>
      </c>
      <c r="P75" s="423">
        <f t="shared" si="29"/>
        <v>0</v>
      </c>
      <c r="Q75" s="423">
        <f t="shared" si="30"/>
        <v>0</v>
      </c>
    </row>
    <row r="76" spans="1:17" x14ac:dyDescent="0.2">
      <c r="A76" s="3" t="s">
        <v>104</v>
      </c>
      <c r="B76" s="369"/>
      <c r="C76" s="3"/>
      <c r="D76" s="347" t="s">
        <v>97</v>
      </c>
      <c r="E76" s="3"/>
      <c r="F76" s="3"/>
      <c r="G76" s="306">
        <f>Inputs!C77</f>
        <v>1830</v>
      </c>
      <c r="H76" s="306">
        <f>Inputs!D77</f>
        <v>1884.9</v>
      </c>
      <c r="I76" s="306">
        <f>Inputs!E77</f>
        <v>1941.4470000000001</v>
      </c>
      <c r="J76" s="33">
        <f>$G76*(J7+J9)</f>
        <v>0</v>
      </c>
      <c r="K76" s="33">
        <f>H76*((K7+K9)-(J7+J9))</f>
        <v>0</v>
      </c>
      <c r="L76" s="33">
        <f>I76*((L7+L9)-(K7+K9))</f>
        <v>0</v>
      </c>
      <c r="M76" s="87">
        <f t="shared" si="27"/>
        <v>0</v>
      </c>
      <c r="N76" s="70"/>
      <c r="O76" s="423">
        <f t="shared" si="28"/>
        <v>0</v>
      </c>
      <c r="P76" s="423">
        <f t="shared" si="29"/>
        <v>0</v>
      </c>
      <c r="Q76" s="423">
        <f t="shared" si="30"/>
        <v>0</v>
      </c>
    </row>
    <row r="77" spans="1:17" x14ac:dyDescent="0.2">
      <c r="A77" s="3" t="s">
        <v>105</v>
      </c>
      <c r="B77" s="369"/>
      <c r="C77" s="3"/>
      <c r="D77" s="347" t="s">
        <v>92</v>
      </c>
      <c r="E77" s="3"/>
      <c r="F77" s="3"/>
      <c r="G77" s="306">
        <f>Inputs!C78</f>
        <v>1730</v>
      </c>
      <c r="H77" s="306">
        <f>Inputs!D78</f>
        <v>1781.9</v>
      </c>
      <c r="I77" s="306">
        <f>Inputs!E78</f>
        <v>1835.3570000000002</v>
      </c>
      <c r="J77" s="33">
        <f>G77*$J$7</f>
        <v>0</v>
      </c>
      <c r="K77" s="33">
        <f>H77*($K$7-J7)</f>
        <v>0</v>
      </c>
      <c r="L77" s="33">
        <f>I77*(L7-K7)</f>
        <v>0</v>
      </c>
      <c r="M77" s="87">
        <f t="shared" si="27"/>
        <v>0</v>
      </c>
      <c r="N77" s="72"/>
      <c r="O77" s="423">
        <f t="shared" si="28"/>
        <v>0</v>
      </c>
      <c r="P77" s="423">
        <f t="shared" si="29"/>
        <v>0</v>
      </c>
      <c r="Q77" s="423">
        <f t="shared" si="30"/>
        <v>0</v>
      </c>
    </row>
    <row r="78" spans="1:17" x14ac:dyDescent="0.2">
      <c r="A78" s="3" t="s">
        <v>106</v>
      </c>
      <c r="B78" s="370"/>
      <c r="C78" s="3"/>
      <c r="D78" s="347" t="s">
        <v>97</v>
      </c>
      <c r="E78" s="3"/>
      <c r="F78" s="3"/>
      <c r="G78" s="47">
        <f>Inputs!C79</f>
        <v>1430</v>
      </c>
      <c r="H78" s="47">
        <f>Inputs!D79</f>
        <v>1472.9</v>
      </c>
      <c r="I78" s="47">
        <f>Inputs!E79</f>
        <v>1517.0870000000002</v>
      </c>
      <c r="J78" s="33">
        <f>$G78*(J7+J9)</f>
        <v>0</v>
      </c>
      <c r="K78" s="33">
        <f>H78*((K7+K9)-(J7+J9))</f>
        <v>0</v>
      </c>
      <c r="L78" s="33">
        <f>I78*((L7+L9)-(K7+K9))</f>
        <v>0</v>
      </c>
      <c r="M78" s="87">
        <f t="shared" si="27"/>
        <v>0</v>
      </c>
      <c r="N78" s="72"/>
      <c r="O78" s="423">
        <f t="shared" si="28"/>
        <v>0</v>
      </c>
      <c r="P78" s="423">
        <f t="shared" si="29"/>
        <v>0</v>
      </c>
      <c r="Q78" s="423">
        <f t="shared" si="30"/>
        <v>0</v>
      </c>
    </row>
    <row r="79" spans="1:17" x14ac:dyDescent="0.2">
      <c r="A79" s="108" t="s">
        <v>107</v>
      </c>
      <c r="B79" s="108"/>
      <c r="C79" s="3"/>
      <c r="D79" s="367" t="s">
        <v>97</v>
      </c>
      <c r="E79" s="3"/>
      <c r="F79" s="3"/>
      <c r="G79" s="46">
        <f>Inputs!C80</f>
        <v>600</v>
      </c>
      <c r="H79" s="46">
        <f>Inputs!D80</f>
        <v>67</v>
      </c>
      <c r="I79" s="46">
        <f>Inputs!E80</f>
        <v>69</v>
      </c>
      <c r="J79" s="33">
        <f>G79*(J7+J9)</f>
        <v>0</v>
      </c>
      <c r="K79" s="33">
        <f>G79*1.03*(($K$7+$K$9)-($J$7+$J$9))+(H79*($J$7+$J$9))</f>
        <v>0</v>
      </c>
      <c r="L79" s="33">
        <f>G79*1.03^2*(($L$7+$L$9)-($K$7+$K$9))+(I79*($K$7+$K$9))</f>
        <v>0</v>
      </c>
      <c r="M79" s="87">
        <f t="shared" si="27"/>
        <v>0</v>
      </c>
      <c r="N79" s="70"/>
      <c r="O79" s="423">
        <f t="shared" si="28"/>
        <v>0</v>
      </c>
      <c r="P79" s="423">
        <f t="shared" si="29"/>
        <v>0</v>
      </c>
      <c r="Q79" s="423">
        <f t="shared" si="30"/>
        <v>0</v>
      </c>
    </row>
    <row r="80" spans="1:17" x14ac:dyDescent="0.2">
      <c r="A80" s="108" t="s">
        <v>196</v>
      </c>
      <c r="B80" s="108"/>
      <c r="C80" s="3"/>
      <c r="D80" s="367" t="s">
        <v>97</v>
      </c>
      <c r="E80" s="3"/>
      <c r="F80" s="3"/>
      <c r="G80" s="46">
        <f>+Inputs!C81</f>
        <v>350</v>
      </c>
      <c r="H80" s="46">
        <f>+Inputs!D81</f>
        <v>0</v>
      </c>
      <c r="I80" s="46">
        <f>+Inputs!E81</f>
        <v>0</v>
      </c>
      <c r="J80" s="33">
        <f>+G80*(J7+J9)</f>
        <v>0</v>
      </c>
      <c r="K80" s="33">
        <f>G80*1.03*(($K$7+$K$9)-($J$7+$J$9))+(H80*($J$7+$J$9))</f>
        <v>0</v>
      </c>
      <c r="L80" s="33">
        <f>G80*1.03^2*(($L$7+$L$9)-($K$7+$K$9))+(I80*($K$7+$K$9))</f>
        <v>0</v>
      </c>
      <c r="M80" s="87">
        <f t="shared" si="27"/>
        <v>0</v>
      </c>
      <c r="N80" s="70"/>
      <c r="O80" s="423">
        <f t="shared" si="28"/>
        <v>0</v>
      </c>
      <c r="P80" s="423">
        <f t="shared" si="29"/>
        <v>0</v>
      </c>
      <c r="Q80" s="423">
        <f t="shared" si="30"/>
        <v>0</v>
      </c>
    </row>
    <row r="81" spans="1:17" x14ac:dyDescent="0.2">
      <c r="A81" s="3" t="s">
        <v>110</v>
      </c>
      <c r="B81" s="368"/>
      <c r="C81" s="3"/>
      <c r="D81" s="347" t="s">
        <v>109</v>
      </c>
      <c r="E81" s="3"/>
      <c r="F81" s="3"/>
      <c r="G81" s="33">
        <f>Inputs!C82</f>
        <v>3135</v>
      </c>
      <c r="H81" s="33">
        <f>Inputs!D82</f>
        <v>0</v>
      </c>
      <c r="I81" s="33">
        <f>Inputs!E82</f>
        <v>0</v>
      </c>
      <c r="J81" s="33">
        <f t="shared" ref="J81:L82" si="31">G81</f>
        <v>3135</v>
      </c>
      <c r="K81" s="33">
        <f t="shared" si="31"/>
        <v>0</v>
      </c>
      <c r="L81" s="33">
        <f t="shared" si="31"/>
        <v>0</v>
      </c>
      <c r="M81" s="87">
        <f t="shared" si="27"/>
        <v>3135</v>
      </c>
      <c r="N81" s="70"/>
      <c r="O81" s="423">
        <f t="shared" si="28"/>
        <v>7.9451508349504527E-2</v>
      </c>
      <c r="P81" s="423">
        <f t="shared" si="29"/>
        <v>0</v>
      </c>
      <c r="Q81" s="423">
        <f t="shared" si="30"/>
        <v>0</v>
      </c>
    </row>
    <row r="82" spans="1:17" x14ac:dyDescent="0.2">
      <c r="A82" s="25" t="s">
        <v>111</v>
      </c>
      <c r="B82" s="25"/>
      <c r="C82" s="3"/>
      <c r="D82" s="347" t="s">
        <v>109</v>
      </c>
      <c r="E82" s="3"/>
      <c r="F82" s="3"/>
      <c r="G82" s="33">
        <f>Inputs!C83</f>
        <v>1119.95</v>
      </c>
      <c r="H82" s="33">
        <f>Inputs!D83</f>
        <v>0</v>
      </c>
      <c r="I82" s="33">
        <f>Inputs!E83</f>
        <v>0</v>
      </c>
      <c r="J82" s="33">
        <f t="shared" si="31"/>
        <v>1119.95</v>
      </c>
      <c r="K82" s="33">
        <f t="shared" si="31"/>
        <v>0</v>
      </c>
      <c r="L82" s="33">
        <f t="shared" si="31"/>
        <v>0</v>
      </c>
      <c r="M82" s="87">
        <f t="shared" si="27"/>
        <v>1119.95</v>
      </c>
      <c r="N82" s="70"/>
      <c r="O82" s="423">
        <f t="shared" si="28"/>
        <v>2.8383322735574992E-2</v>
      </c>
      <c r="P82" s="423">
        <f t="shared" si="29"/>
        <v>0</v>
      </c>
      <c r="Q82" s="423">
        <f t="shared" si="30"/>
        <v>0</v>
      </c>
    </row>
    <row r="83" spans="1:17" x14ac:dyDescent="0.2">
      <c r="A83" s="50"/>
      <c r="B83" s="50"/>
      <c r="C83" s="45"/>
      <c r="D83" s="125"/>
      <c r="E83" s="125"/>
      <c r="F83" s="125"/>
      <c r="G83" s="319"/>
      <c r="H83" s="319"/>
      <c r="I83" s="319"/>
      <c r="J83" s="126"/>
      <c r="K83" s="680"/>
      <c r="L83" s="680"/>
      <c r="M83" s="87"/>
      <c r="O83" s="423">
        <f t="shared" si="28"/>
        <v>0</v>
      </c>
      <c r="P83" s="423">
        <f t="shared" si="29"/>
        <v>0</v>
      </c>
      <c r="Q83" s="423">
        <f t="shared" si="30"/>
        <v>0</v>
      </c>
    </row>
    <row r="84" spans="1:17" x14ac:dyDescent="0.2">
      <c r="A84" s="88"/>
      <c r="B84" s="88"/>
      <c r="C84" s="44"/>
      <c r="D84" s="81"/>
      <c r="E84" s="81"/>
      <c r="F84" s="82"/>
      <c r="G84" s="82"/>
      <c r="H84" s="82"/>
      <c r="I84" s="82"/>
      <c r="J84" s="34"/>
      <c r="K84" s="34"/>
      <c r="L84" s="34"/>
      <c r="M84" s="87"/>
      <c r="N84" s="70"/>
      <c r="O84" s="423">
        <f t="shared" si="28"/>
        <v>0</v>
      </c>
      <c r="P84" s="423">
        <f t="shared" si="29"/>
        <v>0</v>
      </c>
      <c r="Q84" s="423">
        <f t="shared" si="30"/>
        <v>0</v>
      </c>
    </row>
    <row r="85" spans="1:17" x14ac:dyDescent="0.2">
      <c r="A85" s="90" t="s">
        <v>55</v>
      </c>
      <c r="B85" s="90"/>
      <c r="C85" s="44"/>
      <c r="D85" s="81"/>
      <c r="E85" s="81"/>
      <c r="F85" s="82"/>
      <c r="G85" s="82"/>
      <c r="H85" s="82"/>
      <c r="I85" s="82"/>
      <c r="J85" s="85">
        <f>SUM(J66:J83)</f>
        <v>37046.03</v>
      </c>
      <c r="K85" s="85">
        <f>SUM(K66:K83)</f>
        <v>0</v>
      </c>
      <c r="L85" s="85">
        <f>SUM(L66:L83)</f>
        <v>0</v>
      </c>
      <c r="M85" s="87">
        <f>J85+K85+L85</f>
        <v>37046.03</v>
      </c>
      <c r="N85" s="70"/>
      <c r="O85" s="423">
        <f t="shared" si="28"/>
        <v>0.9388717581693764</v>
      </c>
      <c r="P85" s="423">
        <f t="shared" si="29"/>
        <v>0</v>
      </c>
      <c r="Q85" s="423">
        <f t="shared" si="30"/>
        <v>0</v>
      </c>
    </row>
    <row r="86" spans="1:17" x14ac:dyDescent="0.2">
      <c r="A86" s="80" t="s">
        <v>56</v>
      </c>
      <c r="B86" s="80"/>
      <c r="C86" s="106">
        <f>Inputs!$C$84</f>
        <v>0</v>
      </c>
      <c r="D86" s="77"/>
      <c r="E86" s="77"/>
      <c r="F86" s="105"/>
      <c r="G86" s="105"/>
      <c r="H86" s="105"/>
      <c r="I86" s="105"/>
      <c r="J86" s="61">
        <f>J85*$C$86</f>
        <v>0</v>
      </c>
      <c r="K86" s="61">
        <f>K85*$C$86</f>
        <v>0</v>
      </c>
      <c r="L86" s="200">
        <f>L85*$C$86</f>
        <v>0</v>
      </c>
      <c r="M86" s="154">
        <f>J86+K86+L86</f>
        <v>0</v>
      </c>
      <c r="N86" s="72"/>
      <c r="O86" s="423">
        <f t="shared" si="28"/>
        <v>0</v>
      </c>
      <c r="P86" s="423">
        <f t="shared" si="29"/>
        <v>0</v>
      </c>
      <c r="Q86" s="423">
        <f t="shared" si="30"/>
        <v>0</v>
      </c>
    </row>
    <row r="87" spans="1:17" x14ac:dyDescent="0.2">
      <c r="A87" s="371" t="s">
        <v>114</v>
      </c>
      <c r="B87" s="371"/>
      <c r="C87" s="372"/>
      <c r="D87" s="373"/>
      <c r="E87" s="373"/>
      <c r="F87" s="374"/>
      <c r="G87" s="374"/>
      <c r="H87" s="374"/>
      <c r="I87" s="374"/>
      <c r="J87" s="378">
        <f>SUM(J85:J86)</f>
        <v>37046.03</v>
      </c>
      <c r="K87" s="378">
        <f>SUM(K85:K86)</f>
        <v>0</v>
      </c>
      <c r="L87" s="378">
        <f>SUM(L85:L86)</f>
        <v>0</v>
      </c>
      <c r="M87" s="378">
        <f>J87+K87+L87</f>
        <v>37046.03</v>
      </c>
      <c r="N87" s="70"/>
      <c r="O87" s="426">
        <f t="shared" si="28"/>
        <v>0.9388717581693764</v>
      </c>
      <c r="P87" s="426">
        <f t="shared" si="29"/>
        <v>0</v>
      </c>
      <c r="Q87" s="426">
        <f t="shared" si="30"/>
        <v>0</v>
      </c>
    </row>
    <row r="88" spans="1:17" s="113" customFormat="1" x14ac:dyDescent="0.2">
      <c r="A88" s="375" t="s">
        <v>115</v>
      </c>
      <c r="B88" s="376"/>
      <c r="C88" s="376"/>
      <c r="D88" s="376"/>
      <c r="E88" s="376"/>
      <c r="F88" s="377"/>
      <c r="G88" s="377"/>
      <c r="H88" s="377"/>
      <c r="I88" s="377"/>
      <c r="J88" s="378">
        <f>SUM(J63,J87)</f>
        <v>39046.03</v>
      </c>
      <c r="K88" s="378">
        <f>SUM(K63,K87)</f>
        <v>2060</v>
      </c>
      <c r="L88" s="378">
        <f>SUM(L63,L87)</f>
        <v>2121.8000000000002</v>
      </c>
      <c r="M88" s="378">
        <f>J88+K88+L88</f>
        <v>43227.83</v>
      </c>
      <c r="N88" s="72"/>
      <c r="O88" s="426">
        <f t="shared" si="28"/>
        <v>0.98955852585646065</v>
      </c>
      <c r="P88" s="426">
        <f t="shared" si="29"/>
        <v>0.82918739635157546</v>
      </c>
      <c r="Q88" s="426">
        <f t="shared" si="30"/>
        <v>0.69365012964830264</v>
      </c>
    </row>
    <row r="89" spans="1:17" s="113" customFormat="1" x14ac:dyDescent="0.2">
      <c r="A89" s="67"/>
      <c r="B89" s="68"/>
      <c r="C89" s="68"/>
      <c r="D89" s="68"/>
      <c r="E89" s="68"/>
      <c r="F89" s="178"/>
      <c r="G89" s="178"/>
      <c r="H89" s="178"/>
      <c r="I89" s="178"/>
      <c r="J89" s="379"/>
      <c r="K89" s="379"/>
      <c r="L89" s="379"/>
      <c r="M89" s="265"/>
      <c r="N89" s="72"/>
      <c r="O89" s="114"/>
    </row>
    <row r="90" spans="1:17" s="113" customFormat="1" x14ac:dyDescent="0.2">
      <c r="A90" s="380" t="s">
        <v>117</v>
      </c>
      <c r="B90" s="380"/>
      <c r="C90" s="380"/>
      <c r="D90" s="380"/>
      <c r="E90" s="380"/>
      <c r="F90" s="380"/>
      <c r="G90" s="380"/>
      <c r="H90" s="380"/>
      <c r="I90" s="380"/>
      <c r="J90" s="362"/>
      <c r="K90" s="362"/>
      <c r="L90" s="362"/>
      <c r="M90" s="362"/>
      <c r="N90" s="112"/>
      <c r="O90" s="621">
        <f>+O$5</f>
        <v>2022</v>
      </c>
      <c r="P90" s="621">
        <f t="shared" ref="P90:Q90" si="32">+P$5</f>
        <v>2023</v>
      </c>
      <c r="Q90" s="621">
        <f t="shared" si="32"/>
        <v>2024</v>
      </c>
    </row>
    <row r="91" spans="1:17" s="113" customFormat="1" x14ac:dyDescent="0.2">
      <c r="A91" s="45" t="s">
        <v>118</v>
      </c>
      <c r="B91" s="45"/>
      <c r="C91" s="134"/>
      <c r="D91" s="28"/>
      <c r="E91" s="28"/>
      <c r="F91" s="28"/>
      <c r="G91" s="46">
        <f>Inputs!C110</f>
        <v>0</v>
      </c>
      <c r="H91" s="46">
        <f>Inputs!D110</f>
        <v>0</v>
      </c>
      <c r="I91" s="46">
        <f>Inputs!E110</f>
        <v>0</v>
      </c>
      <c r="J91" s="128">
        <f t="shared" ref="J91:L95" si="33">G91</f>
        <v>0</v>
      </c>
      <c r="K91" s="33">
        <f t="shared" si="33"/>
        <v>0</v>
      </c>
      <c r="L91" s="33">
        <f t="shared" si="33"/>
        <v>0</v>
      </c>
      <c r="M91" s="87">
        <f t="shared" ref="M91:M97" si="34">J91+K91+L91</f>
        <v>0</v>
      </c>
      <c r="N91" s="115"/>
      <c r="O91" s="423">
        <f t="shared" ref="O91:Q97" si="35">+J91/J$150</f>
        <v>0</v>
      </c>
      <c r="P91" s="423">
        <f t="shared" si="35"/>
        <v>0</v>
      </c>
      <c r="Q91" s="423">
        <f t="shared" si="35"/>
        <v>0</v>
      </c>
    </row>
    <row r="92" spans="1:17" s="113" customFormat="1" x14ac:dyDescent="0.2">
      <c r="A92" s="45" t="s">
        <v>120</v>
      </c>
      <c r="B92" s="45"/>
      <c r="C92" s="134"/>
      <c r="D92" s="28"/>
      <c r="E92" s="28"/>
      <c r="F92" s="28"/>
      <c r="G92" s="46">
        <f>Inputs!C111</f>
        <v>0</v>
      </c>
      <c r="H92" s="46">
        <f>Inputs!D111</f>
        <v>0</v>
      </c>
      <c r="I92" s="46">
        <f>Inputs!E111</f>
        <v>0</v>
      </c>
      <c r="J92" s="128">
        <f t="shared" si="33"/>
        <v>0</v>
      </c>
      <c r="K92" s="33">
        <f t="shared" si="33"/>
        <v>0</v>
      </c>
      <c r="L92" s="33">
        <f t="shared" si="33"/>
        <v>0</v>
      </c>
      <c r="M92" s="87">
        <f t="shared" si="34"/>
        <v>0</v>
      </c>
      <c r="N92" s="112"/>
      <c r="O92" s="423">
        <f t="shared" si="35"/>
        <v>0</v>
      </c>
      <c r="P92" s="423">
        <f t="shared" si="35"/>
        <v>0</v>
      </c>
      <c r="Q92" s="423">
        <f t="shared" si="35"/>
        <v>0</v>
      </c>
    </row>
    <row r="93" spans="1:17" s="113" customFormat="1" x14ac:dyDescent="0.2">
      <c r="A93" s="45" t="s">
        <v>66</v>
      </c>
      <c r="B93" s="45"/>
      <c r="C93" s="134"/>
      <c r="D93" s="28"/>
      <c r="E93" s="28"/>
      <c r="F93" s="28"/>
      <c r="G93" s="46">
        <f>Inputs!C112</f>
        <v>0</v>
      </c>
      <c r="H93" s="46">
        <f>Inputs!D112</f>
        <v>0</v>
      </c>
      <c r="I93" s="46">
        <f>Inputs!E112</f>
        <v>0</v>
      </c>
      <c r="J93" s="128">
        <f t="shared" si="33"/>
        <v>0</v>
      </c>
      <c r="K93" s="33">
        <f t="shared" si="33"/>
        <v>0</v>
      </c>
      <c r="L93" s="33">
        <f t="shared" si="33"/>
        <v>0</v>
      </c>
      <c r="M93" s="87">
        <f t="shared" si="34"/>
        <v>0</v>
      </c>
      <c r="N93" s="112"/>
      <c r="O93" s="423">
        <f t="shared" si="35"/>
        <v>0</v>
      </c>
      <c r="P93" s="423">
        <f t="shared" si="35"/>
        <v>0</v>
      </c>
      <c r="Q93" s="423">
        <f t="shared" si="35"/>
        <v>0</v>
      </c>
    </row>
    <row r="94" spans="1:17" s="113" customFormat="1" x14ac:dyDescent="0.2">
      <c r="A94" s="45"/>
      <c r="B94" s="45"/>
      <c r="C94" s="134"/>
      <c r="D94" s="28"/>
      <c r="E94" s="28"/>
      <c r="F94" s="28"/>
      <c r="G94" s="46">
        <f>Inputs!C113</f>
        <v>0</v>
      </c>
      <c r="H94" s="46">
        <f>Inputs!D113</f>
        <v>0</v>
      </c>
      <c r="I94" s="46">
        <f>Inputs!E113</f>
        <v>0</v>
      </c>
      <c r="J94" s="128">
        <f t="shared" si="33"/>
        <v>0</v>
      </c>
      <c r="K94" s="33">
        <f t="shared" si="33"/>
        <v>0</v>
      </c>
      <c r="L94" s="33">
        <f t="shared" si="33"/>
        <v>0</v>
      </c>
      <c r="M94" s="87">
        <f t="shared" si="34"/>
        <v>0</v>
      </c>
      <c r="N94" s="112"/>
      <c r="O94" s="423">
        <f t="shared" si="35"/>
        <v>0</v>
      </c>
      <c r="P94" s="423">
        <f t="shared" si="35"/>
        <v>0</v>
      </c>
      <c r="Q94" s="423">
        <f t="shared" si="35"/>
        <v>0</v>
      </c>
    </row>
    <row r="95" spans="1:17" s="113" customFormat="1" x14ac:dyDescent="0.2">
      <c r="A95" s="45"/>
      <c r="B95" s="45"/>
      <c r="C95" s="134"/>
      <c r="D95" s="28"/>
      <c r="E95" s="28"/>
      <c r="F95" s="28"/>
      <c r="G95" s="46">
        <f>Inputs!C114</f>
        <v>0</v>
      </c>
      <c r="H95" s="46">
        <f>Inputs!D114</f>
        <v>0</v>
      </c>
      <c r="I95" s="46">
        <f>Inputs!E114</f>
        <v>0</v>
      </c>
      <c r="J95" s="128">
        <f t="shared" si="33"/>
        <v>0</v>
      </c>
      <c r="K95" s="33">
        <f t="shared" si="33"/>
        <v>0</v>
      </c>
      <c r="L95" s="33">
        <f t="shared" si="33"/>
        <v>0</v>
      </c>
      <c r="M95" s="87">
        <f t="shared" si="34"/>
        <v>0</v>
      </c>
      <c r="N95" s="112"/>
      <c r="O95" s="423">
        <f t="shared" si="35"/>
        <v>0</v>
      </c>
      <c r="P95" s="423">
        <f t="shared" si="35"/>
        <v>0</v>
      </c>
      <c r="Q95" s="423">
        <f t="shared" si="35"/>
        <v>0</v>
      </c>
    </row>
    <row r="96" spans="1:17" s="113" customFormat="1" x14ac:dyDescent="0.2">
      <c r="A96" s="763" t="s">
        <v>121</v>
      </c>
      <c r="B96" s="763"/>
      <c r="C96" s="763"/>
      <c r="D96" s="361"/>
      <c r="E96" s="361"/>
      <c r="F96" s="361"/>
      <c r="G96" s="361"/>
      <c r="H96" s="361"/>
      <c r="I96" s="361"/>
      <c r="J96" s="340">
        <f>SUM(J91:J95)</f>
        <v>0</v>
      </c>
      <c r="K96" s="340">
        <f>SUM(K91:K95)</f>
        <v>0</v>
      </c>
      <c r="L96" s="340">
        <f>SUM(L91:L95)</f>
        <v>0</v>
      </c>
      <c r="M96" s="359">
        <f t="shared" si="34"/>
        <v>0</v>
      </c>
      <c r="N96" s="112"/>
      <c r="O96" s="423">
        <f t="shared" si="35"/>
        <v>0</v>
      </c>
      <c r="P96" s="423">
        <f t="shared" si="35"/>
        <v>0</v>
      </c>
      <c r="Q96" s="423">
        <f t="shared" si="35"/>
        <v>0</v>
      </c>
    </row>
    <row r="97" spans="1:17" ht="12.75" customHeight="1" x14ac:dyDescent="0.2">
      <c r="A97" s="764" t="s">
        <v>122</v>
      </c>
      <c r="B97" s="764"/>
      <c r="C97" s="764"/>
      <c r="D97" s="430"/>
      <c r="E97" s="430"/>
      <c r="F97" s="430"/>
      <c r="G97" s="430"/>
      <c r="H97" s="430"/>
      <c r="I97" s="430"/>
      <c r="J97" s="378">
        <f>J88+J96</f>
        <v>39046.03</v>
      </c>
      <c r="K97" s="378">
        <f>K88+K96</f>
        <v>2060</v>
      </c>
      <c r="L97" s="378">
        <f>L88+L96</f>
        <v>2121.8000000000002</v>
      </c>
      <c r="M97" s="378">
        <f t="shared" si="34"/>
        <v>43227.83</v>
      </c>
      <c r="N97" s="115"/>
      <c r="O97" s="426">
        <f t="shared" si="35"/>
        <v>0.98955852585646065</v>
      </c>
      <c r="P97" s="426">
        <f t="shared" si="35"/>
        <v>0.82918739635157546</v>
      </c>
      <c r="Q97" s="426">
        <f t="shared" si="35"/>
        <v>0.69365012964830264</v>
      </c>
    </row>
    <row r="98" spans="1:17" ht="12.75" customHeight="1" x14ac:dyDescent="0.2">
      <c r="A98" s="55"/>
      <c r="B98" s="55"/>
      <c r="C98" s="55"/>
      <c r="D98" s="55"/>
      <c r="E98" s="55"/>
      <c r="F98" s="55"/>
      <c r="G98" s="55"/>
      <c r="H98" s="55"/>
      <c r="I98" s="55"/>
      <c r="J98" s="62"/>
      <c r="K98" s="62"/>
      <c r="L98" s="62"/>
      <c r="M98" s="265"/>
      <c r="N98" s="115"/>
      <c r="O98" s="116"/>
    </row>
    <row r="99" spans="1:17" ht="15" x14ac:dyDescent="0.25">
      <c r="A99" s="206" t="s">
        <v>124</v>
      </c>
      <c r="B99" s="183"/>
      <c r="C99" s="183"/>
      <c r="D99" s="183"/>
      <c r="E99" s="183"/>
      <c r="F99" s="183"/>
      <c r="G99" s="183"/>
      <c r="H99" s="183"/>
      <c r="I99" s="183"/>
      <c r="J99" s="183"/>
      <c r="K99" s="183"/>
      <c r="L99" s="183"/>
      <c r="M99" s="185"/>
    </row>
    <row r="100" spans="1:17" ht="12.95" customHeight="1" x14ac:dyDescent="0.2">
      <c r="A100" s="765"/>
      <c r="B100" s="766"/>
      <c r="C100" s="766"/>
      <c r="D100" s="766"/>
      <c r="E100" s="766"/>
      <c r="F100" s="140"/>
      <c r="J100" s="381">
        <f>+J65</f>
        <v>2022</v>
      </c>
      <c r="K100" s="381">
        <f>+K65</f>
        <v>2023</v>
      </c>
      <c r="L100" s="381">
        <f>+L65</f>
        <v>2024</v>
      </c>
      <c r="M100" s="2"/>
    </row>
    <row r="101" spans="1:17" ht="12.75" customHeight="1" x14ac:dyDescent="0.2">
      <c r="A101" s="385" t="s">
        <v>126</v>
      </c>
      <c r="B101" s="391" t="s">
        <v>20</v>
      </c>
      <c r="C101" s="385" t="s">
        <v>21</v>
      </c>
      <c r="D101" s="385" t="s">
        <v>269</v>
      </c>
      <c r="E101" s="386" t="s">
        <v>23</v>
      </c>
      <c r="F101" s="386" t="s">
        <v>270</v>
      </c>
      <c r="G101" s="391">
        <f>+G65</f>
        <v>2022</v>
      </c>
      <c r="H101" s="391">
        <f>+H65</f>
        <v>2023</v>
      </c>
      <c r="I101" s="391">
        <f>+I65</f>
        <v>2024</v>
      </c>
      <c r="J101" s="392" t="s">
        <v>282</v>
      </c>
      <c r="K101" s="393">
        <f>Inputs!$B$18</f>
        <v>0.03</v>
      </c>
      <c r="L101" s="393">
        <f>Inputs!$C$18</f>
        <v>0.03</v>
      </c>
      <c r="M101" s="386" t="s">
        <v>23</v>
      </c>
      <c r="N101" s="73"/>
      <c r="O101" s="55"/>
    </row>
    <row r="102" spans="1:17" ht="12.75" customHeight="1" x14ac:dyDescent="0.2">
      <c r="A102" s="36"/>
      <c r="B102" s="36"/>
      <c r="C102" s="215"/>
      <c r="D102" s="692">
        <f>+Inputs!B19</f>
        <v>0.25</v>
      </c>
      <c r="G102" s="679"/>
      <c r="H102" s="679"/>
      <c r="I102" s="679"/>
      <c r="J102" s="29"/>
      <c r="K102" s="29"/>
      <c r="L102" s="29"/>
      <c r="M102" s="181"/>
      <c r="O102" s="621">
        <f>+O$5</f>
        <v>2022</v>
      </c>
      <c r="P102" s="621">
        <f t="shared" ref="P102:Q102" si="36">+P$5</f>
        <v>2023</v>
      </c>
      <c r="Q102" s="621">
        <f t="shared" si="36"/>
        <v>2024</v>
      </c>
    </row>
    <row r="103" spans="1:17" ht="12.75" customHeight="1" x14ac:dyDescent="0.2">
      <c r="A103" s="308" t="str">
        <f>Inputs!A49</f>
        <v>Outreach/Intake Staff</v>
      </c>
      <c r="B103" s="304">
        <f>+Inputs!B49</f>
        <v>0</v>
      </c>
      <c r="C103" s="693">
        <f>+Inputs!C49</f>
        <v>0</v>
      </c>
      <c r="D103" s="680">
        <f>C103*$D$102</f>
        <v>0</v>
      </c>
      <c r="E103" s="680">
        <f t="shared" ref="E103:E108" si="37">C103+D103</f>
        <v>0</v>
      </c>
      <c r="F103" s="694">
        <f>Inputs!D49</f>
        <v>0</v>
      </c>
      <c r="G103" s="333">
        <f>IFERROR(IF(YEAR($B103)&lt;=YEAR(J$5),$F103,0),0)</f>
        <v>0</v>
      </c>
      <c r="H103" s="333">
        <f t="shared" ref="H103" si="38">IFERROR(IF(YEAR($B103)&lt;=YEAR(K$5),$F103,0),0)</f>
        <v>0</v>
      </c>
      <c r="I103" s="333">
        <f t="shared" ref="I103" si="39">IFERROR(IF(YEAR($B103)&lt;=YEAR(L$5),$F103,0),0)</f>
        <v>0</v>
      </c>
      <c r="J103" s="143">
        <f>E103*G103</f>
        <v>0</v>
      </c>
      <c r="K103" s="143">
        <f>(E103*(1+K$101))*H103</f>
        <v>0</v>
      </c>
      <c r="L103" s="143">
        <f>E103*(1+K$101)*(1+L$101)*I103</f>
        <v>0</v>
      </c>
      <c r="M103" s="24">
        <f t="shared" ref="M103:M111" si="40">J103+K103+L103</f>
        <v>0</v>
      </c>
      <c r="N103" s="70"/>
      <c r="O103" s="423">
        <f t="shared" ref="O103:O111" si="41">+J103/J$150</f>
        <v>0</v>
      </c>
      <c r="P103" s="423">
        <f t="shared" ref="P103:P111" si="42">+K103/K$150</f>
        <v>0</v>
      </c>
      <c r="Q103" s="423">
        <f t="shared" ref="Q103:Q111" si="43">+L103/L$150</f>
        <v>0</v>
      </c>
    </row>
    <row r="104" spans="1:17" ht="12.75" customHeight="1" x14ac:dyDescent="0.2">
      <c r="A104" s="308" t="str">
        <f>Inputs!A50</f>
        <v>Interpretation Services</v>
      </c>
      <c r="B104" s="304">
        <f>+Inputs!B50</f>
        <v>0</v>
      </c>
      <c r="C104" s="693">
        <f>+Inputs!C50</f>
        <v>0</v>
      </c>
      <c r="D104" s="680">
        <f t="shared" ref="D104:D108" si="44">C104*$D$102</f>
        <v>0</v>
      </c>
      <c r="E104" s="680">
        <f t="shared" si="37"/>
        <v>0</v>
      </c>
      <c r="F104" s="694">
        <f>Inputs!D50</f>
        <v>0</v>
      </c>
      <c r="G104" s="333">
        <f t="shared" ref="G104:G108" si="45">IFERROR(IF(YEAR($B104)&lt;=YEAR(J$5),$F104,0),0)</f>
        <v>0</v>
      </c>
      <c r="H104" s="333">
        <f t="shared" ref="H104:H108" si="46">IFERROR(IF(YEAR($B104)&lt;=YEAR(K$5),$F104,0),0)</f>
        <v>0</v>
      </c>
      <c r="I104" s="333">
        <f t="shared" ref="I104:I108" si="47">IFERROR(IF(YEAR($B104)&lt;=YEAR(L$5),$F104,0),0)</f>
        <v>0</v>
      </c>
      <c r="J104" s="143">
        <f t="shared" ref="J104:J108" si="48">E104*G104</f>
        <v>0</v>
      </c>
      <c r="K104" s="143">
        <f t="shared" ref="K104:K108" si="49">(E104*(1+K$101))*H104</f>
        <v>0</v>
      </c>
      <c r="L104" s="143">
        <f t="shared" ref="L104:L108" si="50">E104*(1+K$101)*(1+L$101)*I104</f>
        <v>0</v>
      </c>
      <c r="M104" s="24">
        <f t="shared" si="40"/>
        <v>0</v>
      </c>
      <c r="O104" s="423">
        <f t="shared" si="41"/>
        <v>0</v>
      </c>
      <c r="P104" s="423">
        <f t="shared" si="42"/>
        <v>0</v>
      </c>
      <c r="Q104" s="423">
        <f t="shared" si="43"/>
        <v>0</v>
      </c>
    </row>
    <row r="105" spans="1:17" ht="12.75" customHeight="1" x14ac:dyDescent="0.2">
      <c r="A105" s="308" t="str">
        <f>Inputs!A51</f>
        <v>Infant Mental Health Specialist</v>
      </c>
      <c r="B105" s="304">
        <f>+Inputs!B51</f>
        <v>0</v>
      </c>
      <c r="C105" s="693">
        <f>+Inputs!C51</f>
        <v>0</v>
      </c>
      <c r="D105" s="680">
        <f t="shared" si="44"/>
        <v>0</v>
      </c>
      <c r="E105" s="680">
        <f t="shared" si="37"/>
        <v>0</v>
      </c>
      <c r="F105" s="694">
        <f>Inputs!D51</f>
        <v>0</v>
      </c>
      <c r="G105" s="333">
        <f t="shared" si="45"/>
        <v>0</v>
      </c>
      <c r="H105" s="333">
        <f t="shared" si="46"/>
        <v>0</v>
      </c>
      <c r="I105" s="333">
        <f t="shared" si="47"/>
        <v>0</v>
      </c>
      <c r="J105" s="143">
        <f t="shared" si="48"/>
        <v>0</v>
      </c>
      <c r="K105" s="143">
        <f t="shared" si="49"/>
        <v>0</v>
      </c>
      <c r="L105" s="143">
        <f t="shared" si="50"/>
        <v>0</v>
      </c>
      <c r="M105" s="24">
        <f t="shared" si="40"/>
        <v>0</v>
      </c>
      <c r="N105" s="70"/>
      <c r="O105" s="423">
        <f t="shared" si="41"/>
        <v>0</v>
      </c>
      <c r="P105" s="423">
        <f t="shared" si="42"/>
        <v>0</v>
      </c>
      <c r="Q105" s="423">
        <f t="shared" si="43"/>
        <v>0</v>
      </c>
    </row>
    <row r="106" spans="1:17" ht="12.75" customHeight="1" x14ac:dyDescent="0.2">
      <c r="A106" s="308">
        <f>Inputs!A52</f>
        <v>0</v>
      </c>
      <c r="B106" s="304">
        <f>+Inputs!B52</f>
        <v>0</v>
      </c>
      <c r="C106" s="693">
        <f>+Inputs!C52</f>
        <v>0</v>
      </c>
      <c r="D106" s="680">
        <f t="shared" si="44"/>
        <v>0</v>
      </c>
      <c r="E106" s="680">
        <f t="shared" si="37"/>
        <v>0</v>
      </c>
      <c r="F106" s="694">
        <f>Inputs!D52</f>
        <v>0</v>
      </c>
      <c r="G106" s="333">
        <f t="shared" si="45"/>
        <v>0</v>
      </c>
      <c r="H106" s="333">
        <f t="shared" si="46"/>
        <v>0</v>
      </c>
      <c r="I106" s="333">
        <f t="shared" si="47"/>
        <v>0</v>
      </c>
      <c r="J106" s="143">
        <f t="shared" si="48"/>
        <v>0</v>
      </c>
      <c r="K106" s="143">
        <f t="shared" si="49"/>
        <v>0</v>
      </c>
      <c r="L106" s="143">
        <f t="shared" si="50"/>
        <v>0</v>
      </c>
      <c r="M106" s="24">
        <f t="shared" si="40"/>
        <v>0</v>
      </c>
      <c r="N106" s="70"/>
      <c r="O106" s="423">
        <f t="shared" si="41"/>
        <v>0</v>
      </c>
      <c r="P106" s="423">
        <f t="shared" si="42"/>
        <v>0</v>
      </c>
      <c r="Q106" s="423">
        <f t="shared" si="43"/>
        <v>0</v>
      </c>
    </row>
    <row r="107" spans="1:17" ht="12.75" customHeight="1" x14ac:dyDescent="0.2">
      <c r="A107" s="308">
        <f>Inputs!A53</f>
        <v>0</v>
      </c>
      <c r="B107" s="304">
        <f>+Inputs!B53</f>
        <v>0</v>
      </c>
      <c r="C107" s="693">
        <f>+Inputs!C53</f>
        <v>0</v>
      </c>
      <c r="D107" s="680">
        <f t="shared" si="44"/>
        <v>0</v>
      </c>
      <c r="E107" s="680">
        <f t="shared" si="37"/>
        <v>0</v>
      </c>
      <c r="F107" s="694">
        <f>Inputs!D53</f>
        <v>0</v>
      </c>
      <c r="G107" s="333">
        <f t="shared" si="45"/>
        <v>0</v>
      </c>
      <c r="H107" s="333">
        <f t="shared" si="46"/>
        <v>0</v>
      </c>
      <c r="I107" s="333">
        <f t="shared" si="47"/>
        <v>0</v>
      </c>
      <c r="J107" s="143">
        <f t="shared" si="48"/>
        <v>0</v>
      </c>
      <c r="K107" s="143">
        <f t="shared" si="49"/>
        <v>0</v>
      </c>
      <c r="L107" s="143">
        <f t="shared" si="50"/>
        <v>0</v>
      </c>
      <c r="M107" s="24">
        <f t="shared" si="40"/>
        <v>0</v>
      </c>
      <c r="N107" s="70"/>
      <c r="O107" s="423">
        <f t="shared" si="41"/>
        <v>0</v>
      </c>
      <c r="P107" s="423">
        <f t="shared" si="42"/>
        <v>0</v>
      </c>
      <c r="Q107" s="423">
        <f t="shared" si="43"/>
        <v>0</v>
      </c>
    </row>
    <row r="108" spans="1:17" ht="12.75" customHeight="1" x14ac:dyDescent="0.2">
      <c r="A108" s="308">
        <f>Inputs!A54</f>
        <v>0</v>
      </c>
      <c r="B108" s="304">
        <f>+Inputs!B54</f>
        <v>0</v>
      </c>
      <c r="C108" s="693">
        <f>+Inputs!C54</f>
        <v>0</v>
      </c>
      <c r="D108" s="680">
        <f t="shared" si="44"/>
        <v>0</v>
      </c>
      <c r="E108" s="680">
        <f t="shared" si="37"/>
        <v>0</v>
      </c>
      <c r="F108" s="694">
        <f>Inputs!D54</f>
        <v>0</v>
      </c>
      <c r="G108" s="333">
        <f t="shared" si="45"/>
        <v>0</v>
      </c>
      <c r="H108" s="333">
        <f t="shared" si="46"/>
        <v>0</v>
      </c>
      <c r="I108" s="333">
        <f t="shared" si="47"/>
        <v>0</v>
      </c>
      <c r="J108" s="143">
        <f t="shared" si="48"/>
        <v>0</v>
      </c>
      <c r="K108" s="143">
        <f t="shared" si="49"/>
        <v>0</v>
      </c>
      <c r="L108" s="143">
        <f t="shared" si="50"/>
        <v>0</v>
      </c>
      <c r="M108" s="24">
        <f t="shared" si="40"/>
        <v>0</v>
      </c>
      <c r="N108" s="115"/>
      <c r="O108" s="423">
        <f t="shared" si="41"/>
        <v>0</v>
      </c>
      <c r="P108" s="423">
        <f t="shared" si="42"/>
        <v>0</v>
      </c>
      <c r="Q108" s="423">
        <f t="shared" si="43"/>
        <v>0</v>
      </c>
    </row>
    <row r="109" spans="1:17" x14ac:dyDescent="0.2">
      <c r="A109" s="80" t="s">
        <v>55</v>
      </c>
      <c r="B109" s="80"/>
      <c r="C109" s="91"/>
      <c r="D109" s="91"/>
      <c r="E109" s="91"/>
      <c r="F109" s="104"/>
      <c r="G109" s="104"/>
      <c r="H109" s="104"/>
      <c r="I109" s="104"/>
      <c r="J109" s="87">
        <f>SUM(J103:J108)</f>
        <v>0</v>
      </c>
      <c r="K109" s="24">
        <f>SUM(K103:K108)</f>
        <v>0</v>
      </c>
      <c r="L109" s="24">
        <f>SUM(L103:L108)</f>
        <v>0</v>
      </c>
      <c r="M109" s="24">
        <f t="shared" si="40"/>
        <v>0</v>
      </c>
      <c r="N109" s="70"/>
      <c r="O109" s="423">
        <f t="shared" si="41"/>
        <v>0</v>
      </c>
      <c r="P109" s="423">
        <f t="shared" si="42"/>
        <v>0</v>
      </c>
      <c r="Q109" s="423">
        <f t="shared" si="43"/>
        <v>0</v>
      </c>
    </row>
    <row r="110" spans="1:17" ht="13.5" thickBot="1" x14ac:dyDescent="0.25">
      <c r="A110" s="28" t="s">
        <v>56</v>
      </c>
      <c r="B110" s="28"/>
      <c r="C110" s="106">
        <f>Inputs!B55</f>
        <v>0</v>
      </c>
      <c r="D110" s="89"/>
      <c r="E110" s="89"/>
      <c r="F110" s="118"/>
      <c r="G110" s="118"/>
      <c r="H110" s="118"/>
      <c r="I110" s="118"/>
      <c r="J110" s="24">
        <f>J109*C110</f>
        <v>0</v>
      </c>
      <c r="K110" s="24">
        <f>K109*C110</f>
        <v>0</v>
      </c>
      <c r="L110" s="87">
        <f>L109*C110</f>
        <v>0</v>
      </c>
      <c r="M110" s="61">
        <f t="shared" si="40"/>
        <v>0</v>
      </c>
      <c r="N110" s="72"/>
      <c r="O110" s="423">
        <f t="shared" si="41"/>
        <v>0</v>
      </c>
      <c r="P110" s="423">
        <f t="shared" si="42"/>
        <v>0</v>
      </c>
      <c r="Q110" s="423">
        <f t="shared" si="43"/>
        <v>0</v>
      </c>
    </row>
    <row r="111" spans="1:17" ht="12.75" customHeight="1" thickBot="1" x14ac:dyDescent="0.25">
      <c r="A111" s="134" t="s">
        <v>58</v>
      </c>
      <c r="B111" s="134"/>
      <c r="C111" s="134"/>
      <c r="D111" s="37"/>
      <c r="E111" s="37"/>
      <c r="F111" s="455">
        <f>SUM(F103:F110)</f>
        <v>0</v>
      </c>
      <c r="G111" s="455">
        <f t="shared" ref="G111:I111" si="51">SUM(G103:G110)</f>
        <v>0</v>
      </c>
      <c r="H111" s="455">
        <f t="shared" si="51"/>
        <v>0</v>
      </c>
      <c r="I111" s="455">
        <f t="shared" si="51"/>
        <v>0</v>
      </c>
      <c r="J111" s="38">
        <f>SUM(J109:J110)</f>
        <v>0</v>
      </c>
      <c r="K111" s="38">
        <f>SUM(K109:K110)</f>
        <v>0</v>
      </c>
      <c r="L111" s="38">
        <f>SUM(L109:L110)</f>
        <v>0</v>
      </c>
      <c r="M111" s="35">
        <f t="shared" si="40"/>
        <v>0</v>
      </c>
      <c r="N111" s="115"/>
      <c r="O111" s="423">
        <f t="shared" si="41"/>
        <v>0</v>
      </c>
      <c r="P111" s="423">
        <f t="shared" si="42"/>
        <v>0</v>
      </c>
      <c r="Q111" s="423">
        <f t="shared" si="43"/>
        <v>0</v>
      </c>
    </row>
    <row r="112" spans="1:17" ht="12.75" customHeight="1" x14ac:dyDescent="0.2">
      <c r="A112" s="58"/>
      <c r="B112" s="58"/>
      <c r="C112" s="58"/>
      <c r="D112" s="58"/>
      <c r="E112" s="58"/>
      <c r="F112" s="58"/>
      <c r="G112" s="58"/>
      <c r="H112" s="58"/>
      <c r="I112" s="58"/>
      <c r="J112" s="58"/>
      <c r="K112" s="58"/>
      <c r="L112" s="58"/>
      <c r="M112" s="182"/>
      <c r="N112" s="115"/>
      <c r="O112" s="49"/>
    </row>
    <row r="113" spans="1:17" ht="12.75" customHeight="1" x14ac:dyDescent="0.2">
      <c r="A113" s="387" t="s">
        <v>134</v>
      </c>
      <c r="B113" s="388"/>
      <c r="C113" s="388"/>
      <c r="D113" s="388"/>
      <c r="E113" s="388"/>
      <c r="F113" s="388"/>
      <c r="G113" s="388"/>
      <c r="H113" s="388"/>
      <c r="I113" s="388"/>
      <c r="J113" s="389"/>
      <c r="K113" s="389"/>
      <c r="L113" s="389"/>
      <c r="M113" s="390"/>
      <c r="N113" s="115"/>
      <c r="O113" s="621">
        <f>+O$5</f>
        <v>2022</v>
      </c>
      <c r="P113" s="621">
        <f t="shared" ref="P113:Q113" si="52">+P$5</f>
        <v>2023</v>
      </c>
      <c r="Q113" s="621">
        <f t="shared" si="52"/>
        <v>2024</v>
      </c>
    </row>
    <row r="114" spans="1:17" x14ac:dyDescent="0.2">
      <c r="A114" s="50" t="s">
        <v>201</v>
      </c>
      <c r="B114" s="45" t="str">
        <f>+Fees!B11</f>
        <v>Symposium Registration</v>
      </c>
      <c r="C114" s="309"/>
      <c r="D114" s="3"/>
      <c r="E114" s="3"/>
      <c r="F114" s="3"/>
      <c r="G114" s="394">
        <f>+Inputs!C99</f>
        <v>0</v>
      </c>
      <c r="H114" s="394">
        <f>+Inputs!D99</f>
        <v>0</v>
      </c>
      <c r="I114" s="394">
        <f>+Inputs!E99</f>
        <v>0</v>
      </c>
      <c r="J114" s="65">
        <f>IFERROR((VLOOKUP($B114,Fees!$B$1:$I$11,(MATCH(J$100,Fees!$D$1:$I$1,FALSE)+2),FALSE))*G114,0)</f>
        <v>0</v>
      </c>
      <c r="K114" s="65">
        <f>IFERROR((VLOOKUP($B114,Fees!$B$1:$I$11,(MATCH(K$100,Fees!$D$1:$I$1,FALSE)+2),FALSE))*H114,0)</f>
        <v>0</v>
      </c>
      <c r="L114" s="65">
        <f>IFERROR((VLOOKUP($B114,Fees!$B$1:$I$11,(MATCH(L$100,Fees!$D$1:$I$1,FALSE)+2),FALSE))*I114,0)</f>
        <v>0</v>
      </c>
      <c r="M114" s="87">
        <f t="shared" ref="M114:M121" si="53">J114+K114+L114</f>
        <v>0</v>
      </c>
      <c r="N114" s="72"/>
      <c r="O114" s="423">
        <f t="shared" ref="O114:O126" si="54">+J114/J$150</f>
        <v>0</v>
      </c>
      <c r="P114" s="423">
        <f t="shared" ref="P114:P126" si="55">+K114/K$150</f>
        <v>0</v>
      </c>
      <c r="Q114" s="423">
        <f t="shared" ref="Q114:Q126" si="56">+L114/L$150</f>
        <v>0</v>
      </c>
    </row>
    <row r="115" spans="1:17" x14ac:dyDescent="0.2">
      <c r="A115" s="58" t="s">
        <v>139</v>
      </c>
      <c r="B115" s="75"/>
      <c r="C115" s="310"/>
      <c r="D115" s="3"/>
      <c r="E115" s="3"/>
      <c r="F115" s="3"/>
      <c r="G115" s="47">
        <f>Inputs!C100</f>
        <v>1430</v>
      </c>
      <c r="H115" s="47">
        <f>G115*(1+Inputs!$B$18)</f>
        <v>1472.9</v>
      </c>
      <c r="I115" s="47">
        <f>H115*(1+Inputs!$C$18)</f>
        <v>1517.0870000000002</v>
      </c>
      <c r="J115" s="65">
        <f>G114*Calc!G115</f>
        <v>0</v>
      </c>
      <c r="K115" s="65">
        <f>H114*Calc!H115</f>
        <v>0</v>
      </c>
      <c r="L115" s="65">
        <f>I114*Calc!I115</f>
        <v>0</v>
      </c>
      <c r="M115" s="87">
        <f t="shared" si="53"/>
        <v>0</v>
      </c>
      <c r="N115" s="70"/>
      <c r="O115" s="423">
        <f t="shared" si="54"/>
        <v>0</v>
      </c>
      <c r="P115" s="423">
        <f t="shared" si="55"/>
        <v>0</v>
      </c>
      <c r="Q115" s="423">
        <f t="shared" si="56"/>
        <v>0</v>
      </c>
    </row>
    <row r="116" spans="1:17" ht="12.75" customHeight="1" x14ac:dyDescent="0.2">
      <c r="A116" s="58" t="s">
        <v>283</v>
      </c>
      <c r="B116" s="58"/>
      <c r="C116" s="58"/>
      <c r="D116" s="46"/>
      <c r="E116" s="46"/>
      <c r="F116" s="46"/>
      <c r="G116" s="46"/>
      <c r="H116" s="46"/>
      <c r="I116" s="46"/>
      <c r="J116" s="43">
        <f>Inputs!C103</f>
        <v>0</v>
      </c>
      <c r="K116" s="43">
        <f>Inputs!D103</f>
        <v>0</v>
      </c>
      <c r="L116" s="43">
        <f>Inputs!E103</f>
        <v>0</v>
      </c>
      <c r="M116" s="87">
        <f t="shared" si="53"/>
        <v>0</v>
      </c>
      <c r="N116" s="70"/>
      <c r="O116" s="423">
        <f t="shared" si="54"/>
        <v>0</v>
      </c>
      <c r="P116" s="423">
        <f t="shared" si="55"/>
        <v>0</v>
      </c>
      <c r="Q116" s="423">
        <f t="shared" si="56"/>
        <v>0</v>
      </c>
    </row>
    <row r="117" spans="1:17" ht="12.75" customHeight="1" x14ac:dyDescent="0.2">
      <c r="A117" s="58" t="s">
        <v>146</v>
      </c>
      <c r="B117" s="58"/>
      <c r="C117" s="58"/>
      <c r="D117" s="45"/>
      <c r="E117" s="45"/>
      <c r="F117" s="45"/>
      <c r="G117" s="45"/>
      <c r="H117" s="45"/>
      <c r="I117" s="45"/>
      <c r="J117" s="43">
        <f>Inputs!C101</f>
        <v>412</v>
      </c>
      <c r="K117" s="43">
        <f>Inputs!D101</f>
        <v>424.36</v>
      </c>
      <c r="L117" s="43">
        <f>Inputs!E101</f>
        <v>437.0908</v>
      </c>
      <c r="M117" s="87">
        <f t="shared" si="53"/>
        <v>1273.4508000000001</v>
      </c>
      <c r="N117" s="70"/>
      <c r="O117" s="423">
        <f t="shared" si="54"/>
        <v>1.0441474143539351E-2</v>
      </c>
      <c r="P117" s="423">
        <f t="shared" si="55"/>
        <v>0.17081260364842454</v>
      </c>
      <c r="Q117" s="423">
        <f t="shared" si="56"/>
        <v>0.14289192670755033</v>
      </c>
    </row>
    <row r="118" spans="1:17" s="49" customFormat="1" ht="12.75" customHeight="1" x14ac:dyDescent="0.2">
      <c r="A118" s="3" t="s">
        <v>204</v>
      </c>
      <c r="B118" s="58"/>
      <c r="C118" s="58"/>
      <c r="D118" s="128"/>
      <c r="E118" s="128"/>
      <c r="F118" s="128"/>
      <c r="G118" s="128"/>
      <c r="H118" s="128"/>
      <c r="I118" s="128"/>
      <c r="J118" s="43">
        <f>Inputs!C104</f>
        <v>0</v>
      </c>
      <c r="K118" s="43">
        <f>Inputs!D104</f>
        <v>0</v>
      </c>
      <c r="L118" s="43">
        <f>Inputs!E104</f>
        <v>0</v>
      </c>
      <c r="M118" s="87">
        <f t="shared" si="53"/>
        <v>0</v>
      </c>
      <c r="O118" s="423">
        <f t="shared" si="54"/>
        <v>0</v>
      </c>
      <c r="P118" s="423">
        <f t="shared" si="55"/>
        <v>0</v>
      </c>
      <c r="Q118" s="423">
        <f t="shared" si="56"/>
        <v>0</v>
      </c>
    </row>
    <row r="119" spans="1:17" ht="12.75" customHeight="1" x14ac:dyDescent="0.2">
      <c r="A119" s="3" t="s">
        <v>147</v>
      </c>
      <c r="B119" s="58"/>
      <c r="C119" s="347" t="s">
        <v>148</v>
      </c>
      <c r="D119" s="46"/>
      <c r="E119" s="46"/>
      <c r="F119" s="46"/>
      <c r="G119" s="46"/>
      <c r="H119" s="46"/>
      <c r="I119" s="46"/>
      <c r="J119" s="43">
        <v>0</v>
      </c>
      <c r="K119" s="43">
        <v>0</v>
      </c>
      <c r="L119" s="43">
        <f>Inputs!E102</f>
        <v>500</v>
      </c>
      <c r="M119" s="87">
        <f t="shared" si="53"/>
        <v>500</v>
      </c>
      <c r="N119" s="70"/>
      <c r="O119" s="423">
        <f t="shared" si="54"/>
        <v>0</v>
      </c>
      <c r="P119" s="423">
        <f t="shared" si="55"/>
        <v>0</v>
      </c>
      <c r="Q119" s="423">
        <f t="shared" si="56"/>
        <v>0.16345794364414709</v>
      </c>
    </row>
    <row r="120" spans="1:17" ht="12.75" customHeight="1" x14ac:dyDescent="0.2">
      <c r="A120" s="308" t="str">
        <f>Inputs!A105</f>
        <v>Other (Please Specify)</v>
      </c>
      <c r="B120" s="58"/>
      <c r="C120" s="58"/>
      <c r="D120" s="45"/>
      <c r="E120" s="45"/>
      <c r="F120" s="45"/>
      <c r="G120" s="45"/>
      <c r="H120" s="45"/>
      <c r="I120" s="45"/>
      <c r="J120" s="43">
        <f>Inputs!C105</f>
        <v>0</v>
      </c>
      <c r="K120" s="43">
        <f>Inputs!D105</f>
        <v>0</v>
      </c>
      <c r="L120" s="43">
        <f>Inputs!E105</f>
        <v>0</v>
      </c>
      <c r="M120" s="87">
        <f t="shared" si="53"/>
        <v>0</v>
      </c>
      <c r="N120" s="115"/>
      <c r="O120" s="423">
        <f t="shared" si="54"/>
        <v>0</v>
      </c>
      <c r="P120" s="423">
        <f t="shared" si="55"/>
        <v>0</v>
      </c>
      <c r="Q120" s="423">
        <f t="shared" si="56"/>
        <v>0</v>
      </c>
    </row>
    <row r="121" spans="1:17" ht="12.75" customHeight="1" x14ac:dyDescent="0.2">
      <c r="A121" s="308" t="str">
        <f>Inputs!A106</f>
        <v>Other (Please Specify)</v>
      </c>
      <c r="B121" s="58"/>
      <c r="C121" s="58"/>
      <c r="D121" s="45"/>
      <c r="E121" s="45"/>
      <c r="F121" s="45"/>
      <c r="G121" s="45"/>
      <c r="H121" s="45"/>
      <c r="I121" s="45"/>
      <c r="J121" s="43">
        <f>Inputs!C106</f>
        <v>0</v>
      </c>
      <c r="K121" s="43">
        <f>Inputs!D106</f>
        <v>0</v>
      </c>
      <c r="L121" s="43">
        <f>Inputs!E106</f>
        <v>0</v>
      </c>
      <c r="M121" s="87">
        <f t="shared" si="53"/>
        <v>0</v>
      </c>
      <c r="N121" s="115"/>
      <c r="O121" s="423">
        <f t="shared" si="54"/>
        <v>0</v>
      </c>
      <c r="P121" s="423">
        <f t="shared" si="55"/>
        <v>0</v>
      </c>
      <c r="Q121" s="423">
        <f t="shared" si="56"/>
        <v>0</v>
      </c>
    </row>
    <row r="122" spans="1:17" ht="12.75" customHeight="1" x14ac:dyDescent="0.2">
      <c r="A122" s="134" t="s">
        <v>55</v>
      </c>
      <c r="B122" s="119"/>
      <c r="C122" s="58"/>
      <c r="D122" s="45"/>
      <c r="E122" s="45"/>
      <c r="F122" s="45"/>
      <c r="G122" s="45"/>
      <c r="H122" s="45"/>
      <c r="I122" s="45"/>
      <c r="J122" s="120">
        <f>SUM(J114:J121)</f>
        <v>412</v>
      </c>
      <c r="K122" s="120">
        <f>SUM(K114:K121)</f>
        <v>424.36</v>
      </c>
      <c r="L122" s="120">
        <f>SUM(L114:L121)</f>
        <v>937.09079999999994</v>
      </c>
      <c r="M122" s="120">
        <f>SUM(M114:M121)</f>
        <v>1773.4508000000001</v>
      </c>
      <c r="N122" s="115"/>
      <c r="O122" s="423">
        <f t="shared" si="54"/>
        <v>1.0441474143539351E-2</v>
      </c>
      <c r="P122" s="423">
        <f t="shared" si="55"/>
        <v>0.17081260364842454</v>
      </c>
      <c r="Q122" s="423">
        <f t="shared" si="56"/>
        <v>0.30634987035169736</v>
      </c>
    </row>
    <row r="123" spans="1:17" ht="12.75" customHeight="1" x14ac:dyDescent="0.2">
      <c r="A123" s="80" t="s">
        <v>56</v>
      </c>
      <c r="B123" s="28"/>
      <c r="C123" s="121">
        <f>Inputs!C107</f>
        <v>0</v>
      </c>
      <c r="D123" s="32"/>
      <c r="E123" s="32"/>
      <c r="F123" s="122"/>
      <c r="G123" s="105"/>
      <c r="H123" s="105"/>
      <c r="I123" s="105"/>
      <c r="J123" s="61">
        <f>J122*C123</f>
        <v>0</v>
      </c>
      <c r="K123" s="61">
        <f>K122*C123</f>
        <v>0</v>
      </c>
      <c r="L123" s="61">
        <f>L122*C123</f>
        <v>0</v>
      </c>
      <c r="M123" s="61">
        <f>J123+K123+L123</f>
        <v>0</v>
      </c>
      <c r="N123" s="72"/>
      <c r="O123" s="423">
        <f t="shared" si="54"/>
        <v>0</v>
      </c>
      <c r="P123" s="423">
        <f t="shared" si="55"/>
        <v>0</v>
      </c>
      <c r="Q123" s="423">
        <f t="shared" si="56"/>
        <v>0</v>
      </c>
    </row>
    <row r="124" spans="1:17" ht="12.75" customHeight="1" x14ac:dyDescent="0.2">
      <c r="A124" s="110" t="s">
        <v>150</v>
      </c>
      <c r="B124" s="28"/>
      <c r="C124" s="121"/>
      <c r="D124" s="32"/>
      <c r="E124" s="32"/>
      <c r="F124" s="122"/>
      <c r="G124" s="122"/>
      <c r="H124" s="122"/>
      <c r="I124" s="122"/>
      <c r="J124" s="24">
        <f>SUM(J122+J123)</f>
        <v>412</v>
      </c>
      <c r="K124" s="24">
        <f>SUM(K122+K123)</f>
        <v>424.36</v>
      </c>
      <c r="L124" s="24">
        <f>SUM(L122+L123)</f>
        <v>937.09079999999994</v>
      </c>
      <c r="M124" s="24">
        <f>SUM(M122+M123)</f>
        <v>1773.4508000000001</v>
      </c>
      <c r="N124" s="72"/>
      <c r="O124" s="423">
        <f t="shared" si="54"/>
        <v>1.0441474143539351E-2</v>
      </c>
      <c r="P124" s="423">
        <f t="shared" si="55"/>
        <v>0.17081260364842454</v>
      </c>
      <c r="Q124" s="423">
        <f t="shared" si="56"/>
        <v>0.30634987035169736</v>
      </c>
    </row>
    <row r="125" spans="1:17" ht="13.7" customHeight="1" thickBot="1" x14ac:dyDescent="0.25">
      <c r="A125" s="395" t="s">
        <v>151</v>
      </c>
      <c r="B125" s="396"/>
      <c r="C125" s="695"/>
      <c r="D125" s="695"/>
      <c r="E125" s="695"/>
      <c r="F125" s="695"/>
      <c r="G125" s="695"/>
      <c r="H125" s="695"/>
      <c r="I125" s="695"/>
      <c r="J125" s="397">
        <f>J111+J124</f>
        <v>412</v>
      </c>
      <c r="K125" s="397">
        <f>K111+K124</f>
        <v>424.36</v>
      </c>
      <c r="L125" s="397">
        <f>L111+L124</f>
        <v>937.09079999999994</v>
      </c>
      <c r="M125" s="398">
        <f>M111+M124</f>
        <v>1773.4508000000001</v>
      </c>
      <c r="O125" s="427">
        <f t="shared" si="54"/>
        <v>1.0441474143539351E-2</v>
      </c>
      <c r="P125" s="427">
        <f t="shared" si="55"/>
        <v>0.17081260364842454</v>
      </c>
      <c r="Q125" s="427">
        <f t="shared" si="56"/>
        <v>0.30634987035169736</v>
      </c>
    </row>
    <row r="126" spans="1:17" ht="13.5" thickBot="1" x14ac:dyDescent="0.25">
      <c r="A126" s="399" t="s">
        <v>152</v>
      </c>
      <c r="B126" s="400"/>
      <c r="C126" s="400"/>
      <c r="D126" s="400"/>
      <c r="E126" s="400"/>
      <c r="F126" s="401"/>
      <c r="G126" s="401"/>
      <c r="H126" s="401"/>
      <c r="I126" s="401"/>
      <c r="J126" s="402">
        <f>SUM(J88+J125)</f>
        <v>39458.03</v>
      </c>
      <c r="K126" s="402">
        <f>SUM(K88+K125)</f>
        <v>2484.36</v>
      </c>
      <c r="L126" s="402">
        <f>SUM(L88+L125)</f>
        <v>3058.8908000000001</v>
      </c>
      <c r="M126" s="403">
        <f>SUM(M88+M125)</f>
        <v>45001.2808</v>
      </c>
      <c r="O126" s="428">
        <f t="shared" si="54"/>
        <v>1</v>
      </c>
      <c r="P126" s="428">
        <f t="shared" si="55"/>
        <v>1</v>
      </c>
      <c r="Q126" s="428">
        <f t="shared" si="56"/>
        <v>1</v>
      </c>
    </row>
    <row r="127" spans="1:17" x14ac:dyDescent="0.2">
      <c r="A127" s="383"/>
      <c r="B127" s="384"/>
      <c r="C127" s="384"/>
      <c r="D127" s="384"/>
      <c r="E127" s="384"/>
      <c r="F127" s="384"/>
      <c r="G127" s="384"/>
      <c r="H127" s="384"/>
      <c r="I127" s="384"/>
      <c r="J127" s="349"/>
      <c r="K127" s="349"/>
      <c r="L127" s="349"/>
      <c r="M127" s="265"/>
    </row>
    <row r="128" spans="1:17" ht="30" customHeight="1" x14ac:dyDescent="0.25">
      <c r="A128" s="770" t="s">
        <v>153</v>
      </c>
      <c r="B128" s="771"/>
      <c r="C128" s="772"/>
      <c r="D128" s="772"/>
      <c r="E128" s="772"/>
      <c r="F128" s="772"/>
      <c r="G128" s="772"/>
      <c r="H128" s="772"/>
      <c r="I128" s="772"/>
      <c r="J128" s="772"/>
      <c r="K128" s="772"/>
      <c r="L128" s="772"/>
      <c r="M128" s="772"/>
      <c r="N128" s="70"/>
    </row>
    <row r="129" spans="1:17" x14ac:dyDescent="0.2">
      <c r="A129" s="134" t="s">
        <v>154</v>
      </c>
      <c r="B129" s="134"/>
      <c r="C129" s="134"/>
      <c r="D129" s="3"/>
      <c r="E129" s="3"/>
      <c r="F129" s="3"/>
      <c r="G129" s="295">
        <f>D65</f>
        <v>2022</v>
      </c>
      <c r="H129" s="295">
        <f>E65</f>
        <v>2023</v>
      </c>
      <c r="I129" s="295">
        <f>F65</f>
        <v>2024</v>
      </c>
      <c r="J129" s="10"/>
      <c r="K129" s="10"/>
      <c r="L129" s="10"/>
      <c r="M129" s="11"/>
      <c r="N129" s="70"/>
      <c r="O129" s="708"/>
    </row>
    <row r="130" spans="1:17" x14ac:dyDescent="0.2">
      <c r="A130" s="382" t="s">
        <v>14</v>
      </c>
      <c r="B130" s="382"/>
      <c r="C130" s="382"/>
      <c r="D130" s="3"/>
      <c r="E130" s="3"/>
      <c r="F130" s="3"/>
      <c r="G130" s="404">
        <f>Inputs!C88</f>
        <v>0</v>
      </c>
      <c r="H130" s="215">
        <f>Inputs!D88</f>
        <v>0</v>
      </c>
      <c r="I130" s="215">
        <f>Inputs!E88</f>
        <v>0</v>
      </c>
      <c r="J130" s="45"/>
      <c r="K130" s="303"/>
      <c r="L130" s="303"/>
      <c r="M130" s="28"/>
      <c r="O130" s="709"/>
    </row>
    <row r="131" spans="1:17" x14ac:dyDescent="0.2">
      <c r="A131" s="382" t="s">
        <v>15</v>
      </c>
      <c r="B131" s="382"/>
      <c r="C131" s="382"/>
      <c r="D131" s="3"/>
      <c r="E131" s="3"/>
      <c r="F131" s="3"/>
      <c r="G131" s="404">
        <f>Inputs!C89</f>
        <v>0</v>
      </c>
      <c r="H131" s="215">
        <f>Inputs!D89</f>
        <v>0</v>
      </c>
      <c r="I131" s="215">
        <f>Inputs!E89</f>
        <v>0</v>
      </c>
      <c r="J131" s="3"/>
      <c r="K131" s="303"/>
      <c r="L131" s="303"/>
      <c r="M131" s="28"/>
      <c r="O131" s="709"/>
    </row>
    <row r="132" spans="1:17" x14ac:dyDescent="0.2">
      <c r="A132" s="382" t="s">
        <v>16</v>
      </c>
      <c r="B132" s="382"/>
      <c r="C132" s="382"/>
      <c r="D132" s="3"/>
      <c r="E132" s="3"/>
      <c r="F132" s="3"/>
      <c r="G132" s="404">
        <f>Inputs!C90</f>
        <v>0</v>
      </c>
      <c r="H132" s="215">
        <f>Inputs!D90</f>
        <v>0</v>
      </c>
      <c r="I132" s="215">
        <f>Inputs!E90</f>
        <v>0</v>
      </c>
      <c r="J132" s="3"/>
      <c r="K132" s="303"/>
      <c r="L132" s="303"/>
      <c r="M132" s="28"/>
    </row>
    <row r="133" spans="1:17" x14ac:dyDescent="0.2">
      <c r="A133" s="382" t="s">
        <v>17</v>
      </c>
      <c r="B133" s="382"/>
      <c r="C133" s="382"/>
      <c r="D133" s="3"/>
      <c r="E133" s="3"/>
      <c r="F133" s="3"/>
      <c r="G133" s="404">
        <f>Inputs!C91</f>
        <v>0</v>
      </c>
      <c r="H133" s="215">
        <f>Inputs!D91</f>
        <v>0</v>
      </c>
      <c r="I133" s="215">
        <f>Inputs!E91</f>
        <v>0</v>
      </c>
      <c r="J133" s="3"/>
      <c r="K133" s="3"/>
      <c r="L133" s="3"/>
      <c r="M133" s="28"/>
      <c r="N133" s="70"/>
      <c r="O133" s="102"/>
    </row>
    <row r="134" spans="1:17" ht="11.45" customHeight="1" x14ac:dyDescent="0.2">
      <c r="A134" s="9"/>
      <c r="B134" s="10"/>
      <c r="C134" s="10"/>
      <c r="D134" s="29"/>
      <c r="E134" s="29"/>
      <c r="F134" s="29"/>
      <c r="G134" s="29"/>
      <c r="H134" s="29"/>
      <c r="I134" s="29"/>
      <c r="J134" s="324">
        <f>+J100</f>
        <v>2022</v>
      </c>
      <c r="K134" s="324">
        <f t="shared" ref="K134:L134" si="57">+K100</f>
        <v>2023</v>
      </c>
      <c r="L134" s="324">
        <f t="shared" si="57"/>
        <v>2024</v>
      </c>
      <c r="M134" s="244" t="s">
        <v>23</v>
      </c>
      <c r="O134" s="621">
        <f>+O$5</f>
        <v>2022</v>
      </c>
      <c r="P134" s="621">
        <f t="shared" ref="P134:Q134" si="58">+P$5</f>
        <v>2023</v>
      </c>
      <c r="Q134" s="621">
        <f t="shared" si="58"/>
        <v>2024</v>
      </c>
    </row>
    <row r="135" spans="1:17" x14ac:dyDescent="0.2">
      <c r="A135" s="50" t="s">
        <v>284</v>
      </c>
      <c r="B135" s="345"/>
      <c r="C135" s="3"/>
      <c r="D135" s="345" t="s">
        <v>113</v>
      </c>
      <c r="E135" s="3"/>
      <c r="F135" s="408"/>
      <c r="G135" s="409">
        <f>IFERROR(VLOOKUP($A135,Fees!$B$1:$I$36,(MATCH(G$129,Fees!$D$1:$I$1,FALSE)+2),FALSE),0)</f>
        <v>3566</v>
      </c>
      <c r="H135" s="409">
        <f>IFERROR(VLOOKUP($A135,Fees!$B$1:$I$36,(MATCH(H$129,Fees!$D$1:$I$1,FALSE)+2),FALSE),0)</f>
        <v>3672.98</v>
      </c>
      <c r="I135" s="409">
        <f>IFERROR(VLOOKUP($A135,Fees!$B$1:$I$36,(MATCH(I$129,Fees!$D$1:$I$1,FALSE)+2),FALSE),0)</f>
        <v>3783.1694000000002</v>
      </c>
      <c r="J135" s="46">
        <f>+G135*G131</f>
        <v>0</v>
      </c>
      <c r="K135" s="46">
        <f t="shared" ref="K135:L135" si="59">+H135*H131</f>
        <v>0</v>
      </c>
      <c r="L135" s="46">
        <f t="shared" si="59"/>
        <v>0</v>
      </c>
      <c r="M135" s="24">
        <f>SUM(J135:L135)</f>
        <v>0</v>
      </c>
      <c r="O135" s="423">
        <f t="shared" ref="O135:O150" si="60">+J135/J$150</f>
        <v>0</v>
      </c>
      <c r="P135" s="423">
        <f t="shared" ref="P135:P150" si="61">+K135/K$150</f>
        <v>0</v>
      </c>
      <c r="Q135" s="423">
        <f t="shared" ref="Q135:Q150" si="62">+L135/L$150</f>
        <v>0</v>
      </c>
    </row>
    <row r="136" spans="1:17" x14ac:dyDescent="0.2">
      <c r="A136" s="108" t="s">
        <v>89</v>
      </c>
      <c r="B136" s="347" t="str">
        <f>+Fees!B5</f>
        <v>NHV</v>
      </c>
      <c r="C136" s="3"/>
      <c r="D136" s="345" t="s">
        <v>90</v>
      </c>
      <c r="E136" s="3"/>
      <c r="F136" s="408"/>
      <c r="G136" s="409">
        <f>IFERROR(VLOOKUP($B136,Fees!$B$1:$I$36,(MATCH(G$129,Fees!$D$1:$I$1,FALSE)+2),FALSE),0)</f>
        <v>5254</v>
      </c>
      <c r="H136" s="409">
        <f>IFERROR(VLOOKUP($B136,Fees!$B$1:$I$36,(MATCH(H$129,Fees!$D$1:$I$1,FALSE)+2),FALSE),0)</f>
        <v>5411.62</v>
      </c>
      <c r="I136" s="409">
        <f>IFERROR(VLOOKUP($B136,Fees!$B$1:$I$36,(MATCH(I$129,Fees!$D$1:$I$1,FALSE)+2),FALSE),0)</f>
        <v>5573.9686000000002</v>
      </c>
      <c r="J136" s="46">
        <f>+G132*G136</f>
        <v>0</v>
      </c>
      <c r="K136" s="46">
        <f t="shared" ref="K136:L136" si="63">+H132*H136</f>
        <v>0</v>
      </c>
      <c r="L136" s="46">
        <f t="shared" si="63"/>
        <v>0</v>
      </c>
      <c r="M136" s="24">
        <f>SUM(J136:L136)</f>
        <v>0</v>
      </c>
      <c r="N136" s="70"/>
      <c r="O136" s="423">
        <f t="shared" si="60"/>
        <v>0</v>
      </c>
      <c r="P136" s="423">
        <f t="shared" si="61"/>
        <v>0</v>
      </c>
      <c r="Q136" s="423">
        <f t="shared" si="62"/>
        <v>0</v>
      </c>
    </row>
    <row r="137" spans="1:17" x14ac:dyDescent="0.2">
      <c r="A137" s="108" t="s">
        <v>91</v>
      </c>
      <c r="B137" t="str">
        <f>+Fees!B12</f>
        <v>Total Supervisor training</v>
      </c>
      <c r="C137" s="3"/>
      <c r="D137" s="345" t="s">
        <v>92</v>
      </c>
      <c r="E137" s="3"/>
      <c r="F137" s="27"/>
      <c r="G137" s="409">
        <f>IFERROR(VLOOKUP($B137,Fees!$B$1:$I$36,(MATCH(G$129,Fees!$D$1:$I$1,FALSE)+2),FALSE),0)</f>
        <v>6204</v>
      </c>
      <c r="H137" s="409">
        <f>IFERROR(VLOOKUP($B137,Fees!$B$1:$I$36,(MATCH(H$129,Fees!$D$1:$I$1,FALSE)+2),FALSE),0)</f>
        <v>6390.12</v>
      </c>
      <c r="I137" s="409">
        <f>IFERROR(VLOOKUP($B137,Fees!$B$1:$I$36,(MATCH(I$129,Fees!$D$1:$I$1,FALSE)+2),FALSE),0)</f>
        <v>6581.8235999999997</v>
      </c>
      <c r="J137" s="33">
        <f>+G131*G137</f>
        <v>0</v>
      </c>
      <c r="K137" s="33">
        <f t="shared" ref="K137:L137" si="64">+H131*H137</f>
        <v>0</v>
      </c>
      <c r="L137" s="33">
        <f t="shared" si="64"/>
        <v>0</v>
      </c>
      <c r="M137" s="24">
        <f>SUM(J137:L137)</f>
        <v>0</v>
      </c>
      <c r="N137" s="70"/>
      <c r="O137" s="423">
        <f t="shared" si="60"/>
        <v>0</v>
      </c>
      <c r="P137" s="423">
        <f t="shared" si="61"/>
        <v>0</v>
      </c>
      <c r="Q137" s="423">
        <f t="shared" si="62"/>
        <v>0</v>
      </c>
    </row>
    <row r="138" spans="1:17" x14ac:dyDescent="0.2">
      <c r="A138" s="108" t="s">
        <v>93</v>
      </c>
      <c r="B138" s="347" t="str">
        <f>+Fees!B9</f>
        <v>Standard Administrator</v>
      </c>
      <c r="C138" s="3"/>
      <c r="D138" s="345" t="s">
        <v>94</v>
      </c>
      <c r="E138" s="3"/>
      <c r="F138" s="27"/>
      <c r="G138" s="409">
        <f>IFERROR(VLOOKUP($B138,Fees!$B$1:$I$36,(MATCH(G$129,Fees!$D$1:$I$1,FALSE)+2),FALSE),0)</f>
        <v>621</v>
      </c>
      <c r="H138" s="409">
        <f>IFERROR(VLOOKUP($B138,Fees!$B$1:$I$36,(MATCH(H$129,Fees!$D$1:$I$1,FALSE)+2),FALSE),0)</f>
        <v>639.63</v>
      </c>
      <c r="I138" s="409">
        <f>IFERROR(VLOOKUP($B138,Fees!$B$1:$I$36,(MATCH(I$129,Fees!$D$1:$I$1,FALSE)+2),FALSE),0)</f>
        <v>658.81889999999999</v>
      </c>
      <c r="J138" s="33">
        <f>+G138*G133</f>
        <v>0</v>
      </c>
      <c r="K138" s="33">
        <f t="shared" ref="K138:L138" si="65">+H138*H133</f>
        <v>0</v>
      </c>
      <c r="L138" s="33">
        <f t="shared" si="65"/>
        <v>0</v>
      </c>
      <c r="M138" s="24">
        <f>SUM(J138:L138)</f>
        <v>0</v>
      </c>
      <c r="O138" s="423">
        <f t="shared" si="60"/>
        <v>0</v>
      </c>
      <c r="P138" s="423">
        <f t="shared" si="61"/>
        <v>0</v>
      </c>
      <c r="Q138" s="423">
        <f t="shared" si="62"/>
        <v>0</v>
      </c>
    </row>
    <row r="139" spans="1:17" x14ac:dyDescent="0.2">
      <c r="A139" s="108" t="s">
        <v>193</v>
      </c>
      <c r="B139" s="347"/>
      <c r="C139" s="3"/>
      <c r="D139" s="345" t="s">
        <v>97</v>
      </c>
      <c r="E139" s="3"/>
      <c r="F139" s="3"/>
      <c r="G139" s="406">
        <f>Inputs!C75</f>
        <v>500</v>
      </c>
      <c r="H139" s="46">
        <f>G139*(1+K101)</f>
        <v>515</v>
      </c>
      <c r="I139" s="46">
        <f>H139*(1+L101)</f>
        <v>530.45000000000005</v>
      </c>
      <c r="J139" s="33">
        <f>(G131+G132)*G139</f>
        <v>0</v>
      </c>
      <c r="K139" s="33">
        <f t="shared" ref="K139:L139" si="66">(H131+H132)*H139</f>
        <v>0</v>
      </c>
      <c r="L139" s="33">
        <f t="shared" si="66"/>
        <v>0</v>
      </c>
      <c r="M139" s="24">
        <f>SUM(J139:L139)</f>
        <v>0</v>
      </c>
      <c r="O139" s="423">
        <f t="shared" si="60"/>
        <v>0</v>
      </c>
      <c r="P139" s="423">
        <f t="shared" si="61"/>
        <v>0</v>
      </c>
      <c r="Q139" s="423">
        <f t="shared" si="62"/>
        <v>0</v>
      </c>
    </row>
    <row r="140" spans="1:17" x14ac:dyDescent="0.2">
      <c r="A140" s="9" t="s">
        <v>161</v>
      </c>
      <c r="B140" s="351"/>
      <c r="C140" s="3"/>
      <c r="D140" s="351"/>
      <c r="E140" s="3"/>
      <c r="F140" s="3"/>
      <c r="G140" s="10"/>
      <c r="H140" s="10"/>
      <c r="I140" s="10"/>
      <c r="J140" s="10"/>
      <c r="K140" s="10"/>
      <c r="L140" s="10"/>
      <c r="M140" s="11"/>
      <c r="N140" s="70"/>
      <c r="O140" s="423">
        <f t="shared" si="60"/>
        <v>0</v>
      </c>
      <c r="P140" s="423">
        <f t="shared" si="61"/>
        <v>0</v>
      </c>
      <c r="Q140" s="423">
        <f t="shared" si="62"/>
        <v>0</v>
      </c>
    </row>
    <row r="141" spans="1:17" x14ac:dyDescent="0.2">
      <c r="A141" s="405" t="s">
        <v>104</v>
      </c>
      <c r="B141" s="12"/>
      <c r="C141" s="3"/>
      <c r="D141" s="347" t="s">
        <v>97</v>
      </c>
      <c r="E141" s="3"/>
      <c r="F141" s="3"/>
      <c r="G141" s="407">
        <f>Inputs!C93</f>
        <v>1830</v>
      </c>
      <c r="H141" s="407">
        <f>Inputs!D93</f>
        <v>1884.9</v>
      </c>
      <c r="I141" s="407">
        <f>Inputs!E93</f>
        <v>1941.4470000000001</v>
      </c>
      <c r="J141" s="203">
        <f>G141*(G131+G132)</f>
        <v>0</v>
      </c>
      <c r="K141" s="203">
        <f>H141*(H131+H132)</f>
        <v>0</v>
      </c>
      <c r="L141" s="203">
        <f>I141*(I131+I132)</f>
        <v>0</v>
      </c>
      <c r="M141" s="24">
        <f>SUM(J141:L141)</f>
        <v>0</v>
      </c>
      <c r="N141" s="70"/>
      <c r="O141" s="423">
        <f t="shared" si="60"/>
        <v>0</v>
      </c>
      <c r="P141" s="423">
        <f t="shared" si="61"/>
        <v>0</v>
      </c>
      <c r="Q141" s="423">
        <f t="shared" si="62"/>
        <v>0</v>
      </c>
    </row>
    <row r="142" spans="1:17" x14ac:dyDescent="0.2">
      <c r="A142" s="405" t="s">
        <v>105</v>
      </c>
      <c r="B142" s="12"/>
      <c r="C142" s="3"/>
      <c r="D142" s="347" t="s">
        <v>92</v>
      </c>
      <c r="E142" s="3"/>
      <c r="F142" s="3"/>
      <c r="G142" s="407">
        <f>Inputs!C94</f>
        <v>1730</v>
      </c>
      <c r="H142" s="407">
        <f>Inputs!D94</f>
        <v>1781.9</v>
      </c>
      <c r="I142" s="407">
        <f>Inputs!E94</f>
        <v>1835.3570000000002</v>
      </c>
      <c r="J142" s="203">
        <f>G142*G131</f>
        <v>0</v>
      </c>
      <c r="K142" s="203">
        <f>H142*H131</f>
        <v>0</v>
      </c>
      <c r="L142" s="204">
        <f>I142*I131</f>
        <v>0</v>
      </c>
      <c r="M142" s="61">
        <f>SUM(J142:L142)</f>
        <v>0</v>
      </c>
      <c r="N142" s="70"/>
      <c r="O142" s="423">
        <f t="shared" si="60"/>
        <v>0</v>
      </c>
      <c r="P142" s="423">
        <f t="shared" si="61"/>
        <v>0</v>
      </c>
      <c r="Q142" s="423">
        <f t="shared" si="62"/>
        <v>0</v>
      </c>
    </row>
    <row r="143" spans="1:17" x14ac:dyDescent="0.2">
      <c r="A143" s="133" t="s">
        <v>106</v>
      </c>
      <c r="B143" s="45"/>
      <c r="C143" s="3"/>
      <c r="D143" s="347" t="s">
        <v>97</v>
      </c>
      <c r="E143" s="3"/>
      <c r="F143" s="3"/>
      <c r="G143" s="407">
        <f>Inputs!C79</f>
        <v>1430</v>
      </c>
      <c r="H143" s="407">
        <f>Inputs!D79</f>
        <v>1472.9</v>
      </c>
      <c r="I143" s="407">
        <f>Inputs!E79</f>
        <v>1517.0870000000002</v>
      </c>
      <c r="J143" s="203">
        <f>G143*(G131+G132)</f>
        <v>0</v>
      </c>
      <c r="K143" s="203">
        <f>H143*((H131+H132)-(G131+G132))</f>
        <v>0</v>
      </c>
      <c r="L143" s="203">
        <f>I143*((I131+I132)-(H131+H132))</f>
        <v>0</v>
      </c>
      <c r="M143" s="61">
        <f>SUM(J143:L143)</f>
        <v>0</v>
      </c>
      <c r="N143" s="70"/>
      <c r="O143" s="423">
        <f t="shared" si="60"/>
        <v>0</v>
      </c>
      <c r="P143" s="423">
        <f t="shared" si="61"/>
        <v>0</v>
      </c>
      <c r="Q143" s="423">
        <f t="shared" si="62"/>
        <v>0</v>
      </c>
    </row>
    <row r="144" spans="1:17" x14ac:dyDescent="0.2">
      <c r="A144" s="9" t="s">
        <v>134</v>
      </c>
      <c r="B144" s="134"/>
      <c r="C144" s="3"/>
      <c r="D144" s="351"/>
      <c r="E144" s="3"/>
      <c r="F144" s="3"/>
      <c r="G144" s="141"/>
      <c r="H144" s="29"/>
      <c r="I144" s="29"/>
      <c r="J144" s="17"/>
      <c r="K144" s="18"/>
      <c r="L144" s="141"/>
      <c r="M144" s="11"/>
      <c r="N144" s="72"/>
      <c r="O144" s="423">
        <f t="shared" si="60"/>
        <v>0</v>
      </c>
      <c r="P144" s="423">
        <f t="shared" si="61"/>
        <v>0</v>
      </c>
      <c r="Q144" s="423">
        <f t="shared" si="62"/>
        <v>0</v>
      </c>
    </row>
    <row r="145" spans="1:31" x14ac:dyDescent="0.2">
      <c r="A145" s="50" t="s">
        <v>196</v>
      </c>
      <c r="B145" s="134"/>
      <c r="C145" s="3"/>
      <c r="D145" s="367" t="s">
        <v>97</v>
      </c>
      <c r="E145" s="3"/>
      <c r="F145" s="3"/>
      <c r="G145" s="677">
        <f>+Inputs!C81</f>
        <v>350</v>
      </c>
      <c r="H145" s="677">
        <f>+Inputs!D81</f>
        <v>0</v>
      </c>
      <c r="I145" s="677">
        <f>+Inputs!E81</f>
        <v>0</v>
      </c>
      <c r="J145" s="203">
        <f>G145*($G$131+$G$132)</f>
        <v>0</v>
      </c>
      <c r="K145" s="33">
        <f>G145*1.03*(($H$131+$H$132)-($G$131+$G$132))+H145*($G$131+$G$132)</f>
        <v>0</v>
      </c>
      <c r="L145" s="33">
        <f>G145*1.03^2*(($I$131+$I$132)-($H$131+$H$132))+I145*($H$131+$H$132)</f>
        <v>0</v>
      </c>
      <c r="M145" s="24">
        <f>SUM(J145:L145)</f>
        <v>0</v>
      </c>
      <c r="N145" s="72"/>
      <c r="O145" s="423">
        <f t="shared" si="60"/>
        <v>0</v>
      </c>
      <c r="P145" s="423">
        <f t="shared" si="61"/>
        <v>0</v>
      </c>
      <c r="Q145" s="423">
        <f t="shared" si="62"/>
        <v>0</v>
      </c>
    </row>
    <row r="146" spans="1:31" x14ac:dyDescent="0.2">
      <c r="A146" s="108" t="s">
        <v>107</v>
      </c>
      <c r="B146" s="58"/>
      <c r="C146" s="3"/>
      <c r="D146" s="367" t="s">
        <v>97</v>
      </c>
      <c r="E146" s="3"/>
      <c r="F146" s="3"/>
      <c r="G146" s="407">
        <f>Inputs!C80</f>
        <v>600</v>
      </c>
      <c r="H146" s="47">
        <f>Inputs!D80</f>
        <v>67</v>
      </c>
      <c r="I146" s="47">
        <f>Inputs!E80</f>
        <v>69</v>
      </c>
      <c r="J146" s="203">
        <f>G146*($G$131+$G$132)</f>
        <v>0</v>
      </c>
      <c r="K146" s="33">
        <f>G146*1.03*(($H$131+$H$132)-($G$131+$G$132))+H146*($G$131+$G$132)</f>
        <v>0</v>
      </c>
      <c r="L146" s="33">
        <f>G146*1.03^2*(($I$131+$I$132)-($H$131+$H$132))+I146*($H$131+$H$132)</f>
        <v>0</v>
      </c>
      <c r="M146" s="24">
        <f>SUM(J146:L146)</f>
        <v>0</v>
      </c>
      <c r="N146" s="72"/>
      <c r="O146" s="423">
        <f t="shared" si="60"/>
        <v>0</v>
      </c>
      <c r="P146" s="423">
        <f t="shared" si="61"/>
        <v>0</v>
      </c>
      <c r="Q146" s="423">
        <f t="shared" si="62"/>
        <v>0</v>
      </c>
    </row>
    <row r="147" spans="1:31" x14ac:dyDescent="0.2">
      <c r="A147" s="83" t="s">
        <v>55</v>
      </c>
      <c r="B147" s="138"/>
      <c r="C147" s="127"/>
      <c r="D147" s="201"/>
      <c r="E147" s="86"/>
      <c r="F147" s="86"/>
      <c r="G147" s="320"/>
      <c r="H147" s="320"/>
      <c r="I147" s="320"/>
      <c r="J147" s="61">
        <f>SUM(J135:J146)</f>
        <v>0</v>
      </c>
      <c r="K147" s="61">
        <f>SUM(K135:K146)</f>
        <v>0</v>
      </c>
      <c r="L147" s="85">
        <f>SUM(L135:L146)</f>
        <v>0</v>
      </c>
      <c r="M147" s="61">
        <f>J147+K147+L147</f>
        <v>0</v>
      </c>
      <c r="N147" s="70"/>
      <c r="O147" s="423">
        <f t="shared" si="60"/>
        <v>0</v>
      </c>
      <c r="P147" s="423">
        <f t="shared" si="61"/>
        <v>0</v>
      </c>
      <c r="Q147" s="423">
        <f t="shared" si="62"/>
        <v>0</v>
      </c>
    </row>
    <row r="148" spans="1:31" x14ac:dyDescent="0.2">
      <c r="A148" s="80" t="s">
        <v>56</v>
      </c>
      <c r="B148" s="80"/>
      <c r="C148" s="106">
        <f>Inputs!$B$96</f>
        <v>0</v>
      </c>
      <c r="D148" s="77"/>
      <c r="E148" s="77"/>
      <c r="F148" s="105"/>
      <c r="G148" s="105"/>
      <c r="H148" s="105"/>
      <c r="I148" s="105"/>
      <c r="J148" s="61">
        <f>$C$148*J147</f>
        <v>0</v>
      </c>
      <c r="K148" s="61">
        <f>K147*C148</f>
        <v>0</v>
      </c>
      <c r="L148" s="85">
        <f>L147*C148</f>
        <v>0</v>
      </c>
      <c r="M148" s="61">
        <f>J148+K148+L148</f>
        <v>0</v>
      </c>
      <c r="N148" s="72"/>
      <c r="O148" s="423">
        <f t="shared" si="60"/>
        <v>0</v>
      </c>
      <c r="P148" s="423">
        <f t="shared" si="61"/>
        <v>0</v>
      </c>
      <c r="Q148" s="423">
        <f t="shared" si="62"/>
        <v>0</v>
      </c>
    </row>
    <row r="149" spans="1:31" x14ac:dyDescent="0.2">
      <c r="A149" s="412" t="s">
        <v>164</v>
      </c>
      <c r="B149" s="413"/>
      <c r="C149" s="414"/>
      <c r="D149" s="415"/>
      <c r="E149" s="416"/>
      <c r="F149" s="417"/>
      <c r="G149" s="418"/>
      <c r="H149" s="418"/>
      <c r="I149" s="418"/>
      <c r="J149" s="419">
        <f>SUM(J147:J148)</f>
        <v>0</v>
      </c>
      <c r="K149" s="419">
        <f>SUM(K147:K148)</f>
        <v>0</v>
      </c>
      <c r="L149" s="419">
        <f>SUM(L147:L148)</f>
        <v>0</v>
      </c>
      <c r="M149" s="419">
        <f>J149+K149+L149</f>
        <v>0</v>
      </c>
      <c r="N149" s="72"/>
      <c r="O149" s="429">
        <f t="shared" si="60"/>
        <v>0</v>
      </c>
      <c r="P149" s="429">
        <f t="shared" si="61"/>
        <v>0</v>
      </c>
      <c r="Q149" s="429">
        <f t="shared" si="62"/>
        <v>0</v>
      </c>
    </row>
    <row r="150" spans="1:31" x14ac:dyDescent="0.2">
      <c r="A150" s="399" t="s">
        <v>165</v>
      </c>
      <c r="B150" s="400"/>
      <c r="C150" s="400"/>
      <c r="D150" s="400"/>
      <c r="E150" s="400"/>
      <c r="F150" s="401"/>
      <c r="G150" s="401"/>
      <c r="H150" s="401"/>
      <c r="I150" s="401"/>
      <c r="J150" s="402">
        <f>J126+J149</f>
        <v>39458.03</v>
      </c>
      <c r="K150" s="402">
        <f>K126+K149</f>
        <v>2484.36</v>
      </c>
      <c r="L150" s="402">
        <f>L126+L149</f>
        <v>3058.8908000000001</v>
      </c>
      <c r="M150" s="402">
        <f>J150+K150+L150</f>
        <v>45001.2808</v>
      </c>
      <c r="O150" s="428">
        <f t="shared" si="60"/>
        <v>1</v>
      </c>
      <c r="P150" s="428">
        <f t="shared" si="61"/>
        <v>1</v>
      </c>
      <c r="Q150" s="428">
        <f t="shared" si="62"/>
        <v>1</v>
      </c>
    </row>
    <row r="151" spans="1:31" ht="9.9499999999999993" customHeight="1" x14ac:dyDescent="0.2">
      <c r="N151" s="70"/>
      <c r="O151" s="1"/>
    </row>
    <row r="152" spans="1:31" ht="13.5" thickBot="1" x14ac:dyDescent="0.25">
      <c r="A152" s="269"/>
      <c r="B152" s="269"/>
      <c r="C152" s="269"/>
      <c r="D152" s="269"/>
      <c r="E152" s="269"/>
      <c r="F152" s="269"/>
      <c r="G152" s="269"/>
      <c r="H152" s="269"/>
      <c r="I152" s="269"/>
      <c r="J152" s="269"/>
      <c r="K152" s="269"/>
      <c r="L152" s="269"/>
      <c r="M152" s="270"/>
      <c r="P152" s="113" t="s">
        <v>285</v>
      </c>
    </row>
    <row r="153" spans="1:31" x14ac:dyDescent="0.2">
      <c r="P153">
        <f>R156-P156</f>
        <v>365</v>
      </c>
      <c r="Q153" s="294"/>
      <c r="R153">
        <f>T156-R156</f>
        <v>366</v>
      </c>
      <c r="T153">
        <f>V156-T156</f>
        <v>366</v>
      </c>
      <c r="U153">
        <f>P153+R153+T153</f>
        <v>1097</v>
      </c>
    </row>
    <row r="154" spans="1:31" s="113" customFormat="1" ht="13.5" thickBot="1" x14ac:dyDescent="0.25">
      <c r="A154" s="113" t="s">
        <v>286</v>
      </c>
      <c r="N154" s="112"/>
      <c r="P154" s="113" t="s">
        <v>287</v>
      </c>
      <c r="Y154" s="113" t="s">
        <v>288</v>
      </c>
    </row>
    <row r="155" spans="1:31" s="113" customFormat="1" x14ac:dyDescent="0.2">
      <c r="J155" s="283" t="s">
        <v>194</v>
      </c>
      <c r="K155" s="284" t="s">
        <v>195</v>
      </c>
      <c r="L155" s="284" t="s">
        <v>172</v>
      </c>
      <c r="M155" s="285"/>
      <c r="P155" s="279" t="s">
        <v>194</v>
      </c>
      <c r="Q155" s="280"/>
      <c r="R155" s="279" t="s">
        <v>195</v>
      </c>
      <c r="S155" s="280"/>
      <c r="T155" s="279" t="s">
        <v>172</v>
      </c>
      <c r="W155" s="278"/>
      <c r="Y155" s="279" t="s">
        <v>194</v>
      </c>
      <c r="Z155" s="280"/>
      <c r="AA155" s="279" t="s">
        <v>195</v>
      </c>
      <c r="AB155" s="280"/>
      <c r="AC155" s="279" t="s">
        <v>172</v>
      </c>
    </row>
    <row r="156" spans="1:31" s="113" customFormat="1" ht="38.25" x14ac:dyDescent="0.2">
      <c r="A156" s="113" t="s">
        <v>289</v>
      </c>
      <c r="B156" s="113" t="s">
        <v>20</v>
      </c>
      <c r="C156" s="113" t="s">
        <v>209</v>
      </c>
      <c r="D156" s="113" t="s">
        <v>290</v>
      </c>
      <c r="E156" s="276" t="s">
        <v>291</v>
      </c>
      <c r="J156" s="286">
        <f>+J5</f>
        <v>44713</v>
      </c>
      <c r="K156" s="286">
        <f>+K5</f>
        <v>45078</v>
      </c>
      <c r="L156" s="286">
        <f>+L5</f>
        <v>45444</v>
      </c>
      <c r="M156" s="287">
        <f>M4</f>
        <v>45810</v>
      </c>
      <c r="P156" s="271">
        <f>J156</f>
        <v>44713</v>
      </c>
      <c r="Q156" s="272"/>
      <c r="R156" s="271">
        <f>K156</f>
        <v>45078</v>
      </c>
      <c r="S156" s="272"/>
      <c r="T156" s="271">
        <f>L156</f>
        <v>45444</v>
      </c>
      <c r="U156" s="113" t="s">
        <v>23</v>
      </c>
      <c r="V156" s="268">
        <f>M4</f>
        <v>45810</v>
      </c>
      <c r="Y156" s="271">
        <f>P156</f>
        <v>44713</v>
      </c>
      <c r="Z156" s="272"/>
      <c r="AA156" s="271">
        <f>R156</f>
        <v>45078</v>
      </c>
      <c r="AB156" s="272"/>
      <c r="AC156" s="271">
        <f>T156</f>
        <v>45444</v>
      </c>
      <c r="AD156" s="113" t="s">
        <v>23</v>
      </c>
      <c r="AE156" s="268">
        <f>V156</f>
        <v>45810</v>
      </c>
    </row>
    <row r="157" spans="1:31" x14ac:dyDescent="0.2">
      <c r="A157" s="300" t="str">
        <f>Inputs!A121</f>
        <v>Funding 1</v>
      </c>
      <c r="B157" s="301">
        <f>Inputs!D121</f>
        <v>0</v>
      </c>
      <c r="C157" s="301">
        <f>Inputs!E121</f>
        <v>0</v>
      </c>
      <c r="D157" s="302">
        <f>Inputs!F121</f>
        <v>0</v>
      </c>
      <c r="E157" s="277">
        <f>C157-B157</f>
        <v>0</v>
      </c>
      <c r="J157" s="288">
        <f t="shared" ref="J157:J166" si="67">$D157*$Y157</f>
        <v>0</v>
      </c>
      <c r="K157" s="289">
        <f t="shared" ref="K157:K166" si="68">$D157*$AA157</f>
        <v>0</v>
      </c>
      <c r="L157" s="289">
        <f t="shared" ref="L157:L166" si="69">$D157*$AC157</f>
        <v>0</v>
      </c>
      <c r="M157" s="290">
        <f t="shared" ref="M157:M166" si="70">J157+K157+L157</f>
        <v>0</v>
      </c>
      <c r="O157" s="113"/>
      <c r="P157" s="281" t="str">
        <f t="shared" ref="P157:P166" si="71">IF(AND($B157&gt;=P$156,$B157&lt;=R$156,$C157&gt;=R$156,$C157&gt;=$B157),R$156-$B157,IF(AND($C157&lt;=P$156,$C157-P$156&gt;=P$153),P$153,IF(AND($B157&lt;=P$156,$C157&lt;=R$156,$C157&gt;=P$156,$C157&lt;&gt;$B157),$C157-P$156,IF(AND($B157&gt;=P$156,$C157&lt;=R$156),$C157-$B157,IF(AND($B157&lt;=P$156,$C157&gt;=R$156,$C157-$B157&gt;=P$153),P$153,"")))))</f>
        <v/>
      </c>
      <c r="R157" s="282" t="str">
        <f t="shared" ref="R157:R166" si="72">IF(AND($B157&gt;=R$156,$B157&lt;=T$156,$C157&gt;=T$156,$C157&gt;=$B157),T$156-$B157,IF(AND($C157&lt;=R$156,$C157-R$156&gt;=R$153),R$153,IF(AND($B157&lt;=R$156,$C157&lt;=T$156,$C157&gt;=R$156,$C157&lt;&gt;$B157),$C157-R$156,IF(AND($B157&gt;=R$156,$C157&lt;=T$156),$C157-$B157,IF(AND($B157&lt;=R$156,$C157&gt;=T$156,$C157-$B157&gt;=R$153),R$153,"")))))</f>
        <v/>
      </c>
      <c r="T157" s="282" t="str">
        <f t="shared" ref="T157:T166" si="73">IF(AND($B157&gt;=T$156,$B157&lt;=V$156,$C157&gt;=V$156,$C157&gt;=$B157),V$156-$B157,IF(AND($C157&lt;=T$156,$C157-T$156&gt;=T$153),T$153,IF(AND($B157&lt;=T$156,$C157&lt;=V$156,$C157&gt;=T$156,$C157&lt;&gt;$B157),$C157-T$156,IF(AND($B157&gt;=T$156,$C157&lt;=V$156),$C157-$B157,IF(AND($B157&lt;=T$156,$C157&gt;=V$156,$C157-$B157&gt;=T$153),T$153,"")))))</f>
        <v/>
      </c>
      <c r="U157" s="282">
        <f>SUM(P157:T157)</f>
        <v>0</v>
      </c>
      <c r="V157">
        <f t="shared" ref="V157:V166" si="74">U157-E157</f>
        <v>0</v>
      </c>
      <c r="Y157" s="298">
        <f t="shared" ref="Y157:Y166" si="75">IFERROR(P157/$E157,0)</f>
        <v>0</v>
      </c>
      <c r="Z157" s="299"/>
      <c r="AA157" s="299">
        <f t="shared" ref="AA157:AA166" si="76">IFERROR(R157/$E157,0)</f>
        <v>0</v>
      </c>
      <c r="AB157" s="299"/>
      <c r="AC157" s="299">
        <f t="shared" ref="AC157:AC166" si="77">IFERROR(T157/$E157,0)</f>
        <v>0</v>
      </c>
      <c r="AD157" s="298">
        <f>SUM(Y157:AC157)</f>
        <v>0</v>
      </c>
    </row>
    <row r="158" spans="1:31" x14ac:dyDescent="0.2">
      <c r="A158" s="300" t="str">
        <f>Inputs!A122</f>
        <v>Funding 2</v>
      </c>
      <c r="B158" s="301">
        <f>Inputs!D122</f>
        <v>0</v>
      </c>
      <c r="C158" s="301">
        <f>Inputs!E122</f>
        <v>0</v>
      </c>
      <c r="D158" s="302">
        <f>Inputs!F122</f>
        <v>0</v>
      </c>
      <c r="E158" s="277">
        <f t="shared" ref="E158:E166" si="78">C158-B158</f>
        <v>0</v>
      </c>
      <c r="J158" s="288">
        <f t="shared" si="67"/>
        <v>0</v>
      </c>
      <c r="K158" s="289">
        <f t="shared" si="68"/>
        <v>0</v>
      </c>
      <c r="L158" s="289">
        <f t="shared" si="69"/>
        <v>0</v>
      </c>
      <c r="M158" s="290">
        <f t="shared" si="70"/>
        <v>0</v>
      </c>
      <c r="O158" s="113"/>
      <c r="P158" s="281" t="str">
        <f t="shared" si="71"/>
        <v/>
      </c>
      <c r="R158" s="282" t="str">
        <f t="shared" si="72"/>
        <v/>
      </c>
      <c r="T158" s="282" t="str">
        <f t="shared" si="73"/>
        <v/>
      </c>
      <c r="U158" s="282">
        <f t="shared" ref="U158:U166" si="79">SUM(P158:T158)</f>
        <v>0</v>
      </c>
      <c r="V158">
        <f t="shared" si="74"/>
        <v>0</v>
      </c>
      <c r="Y158" s="298">
        <f t="shared" si="75"/>
        <v>0</v>
      </c>
      <c r="Z158" s="299"/>
      <c r="AA158" s="299">
        <f t="shared" si="76"/>
        <v>0</v>
      </c>
      <c r="AB158" s="299"/>
      <c r="AC158" s="299">
        <f t="shared" si="77"/>
        <v>0</v>
      </c>
      <c r="AD158" s="298">
        <f t="shared" ref="AD158:AD166" si="80">SUM(Y158:AC158)</f>
        <v>0</v>
      </c>
    </row>
    <row r="159" spans="1:31" x14ac:dyDescent="0.2">
      <c r="A159" s="300" t="str">
        <f>Inputs!A123</f>
        <v>Funding 3</v>
      </c>
      <c r="B159" s="301">
        <f>Inputs!D123</f>
        <v>0</v>
      </c>
      <c r="C159" s="301">
        <f>Inputs!E123</f>
        <v>0</v>
      </c>
      <c r="D159" s="302">
        <f>Inputs!F123</f>
        <v>0</v>
      </c>
      <c r="E159" s="277">
        <f t="shared" si="78"/>
        <v>0</v>
      </c>
      <c r="J159" s="288">
        <f t="shared" si="67"/>
        <v>0</v>
      </c>
      <c r="K159" s="289">
        <f t="shared" si="68"/>
        <v>0</v>
      </c>
      <c r="L159" s="289">
        <f t="shared" si="69"/>
        <v>0</v>
      </c>
      <c r="M159" s="290">
        <f t="shared" si="70"/>
        <v>0</v>
      </c>
      <c r="O159" s="113"/>
      <c r="P159" s="281" t="str">
        <f t="shared" si="71"/>
        <v/>
      </c>
      <c r="R159" s="282" t="str">
        <f t="shared" si="72"/>
        <v/>
      </c>
      <c r="T159" s="282" t="str">
        <f t="shared" si="73"/>
        <v/>
      </c>
      <c r="U159" s="282">
        <f t="shared" si="79"/>
        <v>0</v>
      </c>
      <c r="V159">
        <f t="shared" si="74"/>
        <v>0</v>
      </c>
      <c r="Y159" s="298">
        <f t="shared" si="75"/>
        <v>0</v>
      </c>
      <c r="Z159" s="299"/>
      <c r="AA159" s="299">
        <f t="shared" si="76"/>
        <v>0</v>
      </c>
      <c r="AB159" s="299"/>
      <c r="AC159" s="299">
        <f t="shared" si="77"/>
        <v>0</v>
      </c>
      <c r="AD159" s="298">
        <f t="shared" si="80"/>
        <v>0</v>
      </c>
    </row>
    <row r="160" spans="1:31" x14ac:dyDescent="0.2">
      <c r="A160" s="300" t="str">
        <f>Inputs!A124</f>
        <v>Funding 4</v>
      </c>
      <c r="B160" s="301">
        <f>Inputs!D124</f>
        <v>0</v>
      </c>
      <c r="C160" s="301">
        <f>Inputs!E124</f>
        <v>0</v>
      </c>
      <c r="D160" s="302">
        <f>Inputs!F124</f>
        <v>0</v>
      </c>
      <c r="E160" s="277">
        <f t="shared" si="78"/>
        <v>0</v>
      </c>
      <c r="J160" s="288">
        <f t="shared" si="67"/>
        <v>0</v>
      </c>
      <c r="K160" s="289">
        <f t="shared" si="68"/>
        <v>0</v>
      </c>
      <c r="L160" s="289">
        <f t="shared" si="69"/>
        <v>0</v>
      </c>
      <c r="M160" s="290">
        <f t="shared" si="70"/>
        <v>0</v>
      </c>
      <c r="O160" s="113"/>
      <c r="P160" s="281" t="str">
        <f t="shared" si="71"/>
        <v/>
      </c>
      <c r="R160" s="282" t="str">
        <f t="shared" si="72"/>
        <v/>
      </c>
      <c r="T160" s="282" t="str">
        <f t="shared" si="73"/>
        <v/>
      </c>
      <c r="U160" s="282">
        <f t="shared" si="79"/>
        <v>0</v>
      </c>
      <c r="V160">
        <f t="shared" si="74"/>
        <v>0</v>
      </c>
      <c r="Y160" s="298">
        <f t="shared" si="75"/>
        <v>0</v>
      </c>
      <c r="Z160" s="299"/>
      <c r="AA160" s="299">
        <f t="shared" si="76"/>
        <v>0</v>
      </c>
      <c r="AB160" s="299"/>
      <c r="AC160" s="299">
        <f t="shared" si="77"/>
        <v>0</v>
      </c>
      <c r="AD160" s="298">
        <f t="shared" si="80"/>
        <v>0</v>
      </c>
    </row>
    <row r="161" spans="1:30" x14ac:dyDescent="0.2">
      <c r="A161" s="300" t="str">
        <f>Inputs!A125</f>
        <v>Funding 5</v>
      </c>
      <c r="B161" s="301">
        <f>Inputs!D125</f>
        <v>0</v>
      </c>
      <c r="C161" s="301">
        <f>Inputs!E125</f>
        <v>0</v>
      </c>
      <c r="D161" s="302">
        <f>Inputs!F125</f>
        <v>0</v>
      </c>
      <c r="E161" s="277">
        <f t="shared" si="78"/>
        <v>0</v>
      </c>
      <c r="J161" s="288">
        <f t="shared" si="67"/>
        <v>0</v>
      </c>
      <c r="K161" s="289">
        <f t="shared" si="68"/>
        <v>0</v>
      </c>
      <c r="L161" s="289">
        <f t="shared" si="69"/>
        <v>0</v>
      </c>
      <c r="M161" s="290">
        <f t="shared" si="70"/>
        <v>0</v>
      </c>
      <c r="O161" s="113"/>
      <c r="P161" s="281" t="str">
        <f t="shared" si="71"/>
        <v/>
      </c>
      <c r="R161" s="282" t="str">
        <f t="shared" si="72"/>
        <v/>
      </c>
      <c r="T161" s="282" t="str">
        <f t="shared" si="73"/>
        <v/>
      </c>
      <c r="U161" s="282">
        <f t="shared" si="79"/>
        <v>0</v>
      </c>
      <c r="V161">
        <f t="shared" si="74"/>
        <v>0</v>
      </c>
      <c r="Y161" s="298">
        <f t="shared" si="75"/>
        <v>0</v>
      </c>
      <c r="Z161" s="299"/>
      <c r="AA161" s="299">
        <f t="shared" si="76"/>
        <v>0</v>
      </c>
      <c r="AB161" s="299"/>
      <c r="AC161" s="299">
        <f t="shared" si="77"/>
        <v>0</v>
      </c>
      <c r="AD161" s="298">
        <f t="shared" si="80"/>
        <v>0</v>
      </c>
    </row>
    <row r="162" spans="1:30" x14ac:dyDescent="0.2">
      <c r="A162" s="300" t="str">
        <f>Inputs!A126</f>
        <v>Funding 6</v>
      </c>
      <c r="B162" s="301">
        <f>Inputs!D126</f>
        <v>0</v>
      </c>
      <c r="C162" s="301">
        <f>Inputs!E126</f>
        <v>0</v>
      </c>
      <c r="D162" s="302">
        <f>Inputs!F126</f>
        <v>0</v>
      </c>
      <c r="E162" s="277">
        <f t="shared" si="78"/>
        <v>0</v>
      </c>
      <c r="J162" s="288">
        <f t="shared" si="67"/>
        <v>0</v>
      </c>
      <c r="K162" s="289">
        <f t="shared" si="68"/>
        <v>0</v>
      </c>
      <c r="L162" s="289">
        <f t="shared" si="69"/>
        <v>0</v>
      </c>
      <c r="M162" s="290">
        <f t="shared" si="70"/>
        <v>0</v>
      </c>
      <c r="O162" s="113"/>
      <c r="P162" s="281" t="str">
        <f t="shared" si="71"/>
        <v/>
      </c>
      <c r="R162" s="282" t="str">
        <f t="shared" si="72"/>
        <v/>
      </c>
      <c r="T162" s="282" t="str">
        <f t="shared" si="73"/>
        <v/>
      </c>
      <c r="U162" s="282">
        <f t="shared" si="79"/>
        <v>0</v>
      </c>
      <c r="V162">
        <f t="shared" si="74"/>
        <v>0</v>
      </c>
      <c r="Y162" s="298">
        <f t="shared" si="75"/>
        <v>0</v>
      </c>
      <c r="Z162" s="299"/>
      <c r="AA162" s="299">
        <f t="shared" si="76"/>
        <v>0</v>
      </c>
      <c r="AB162" s="299"/>
      <c r="AC162" s="299">
        <f t="shared" si="77"/>
        <v>0</v>
      </c>
      <c r="AD162" s="298">
        <f t="shared" si="80"/>
        <v>0</v>
      </c>
    </row>
    <row r="163" spans="1:30" x14ac:dyDescent="0.2">
      <c r="A163" s="300" t="str">
        <f>Inputs!A127</f>
        <v>Funding 7</v>
      </c>
      <c r="B163" s="301">
        <f>Inputs!D127</f>
        <v>0</v>
      </c>
      <c r="C163" s="301">
        <f>Inputs!E127</f>
        <v>0</v>
      </c>
      <c r="D163" s="302">
        <f>Inputs!F127</f>
        <v>0</v>
      </c>
      <c r="E163" s="277">
        <f t="shared" si="78"/>
        <v>0</v>
      </c>
      <c r="J163" s="288">
        <f t="shared" si="67"/>
        <v>0</v>
      </c>
      <c r="K163" s="289">
        <f t="shared" si="68"/>
        <v>0</v>
      </c>
      <c r="L163" s="289">
        <f t="shared" si="69"/>
        <v>0</v>
      </c>
      <c r="M163" s="290">
        <f t="shared" si="70"/>
        <v>0</v>
      </c>
      <c r="O163" s="113"/>
      <c r="P163" s="281" t="str">
        <f t="shared" si="71"/>
        <v/>
      </c>
      <c r="R163" s="282" t="str">
        <f t="shared" si="72"/>
        <v/>
      </c>
      <c r="T163" s="282" t="str">
        <f t="shared" si="73"/>
        <v/>
      </c>
      <c r="U163" s="282">
        <f t="shared" si="79"/>
        <v>0</v>
      </c>
      <c r="V163">
        <f t="shared" si="74"/>
        <v>0</v>
      </c>
      <c r="Y163" s="298">
        <f t="shared" si="75"/>
        <v>0</v>
      </c>
      <c r="Z163" s="299"/>
      <c r="AA163" s="299">
        <f t="shared" si="76"/>
        <v>0</v>
      </c>
      <c r="AB163" s="299"/>
      <c r="AC163" s="299">
        <f t="shared" si="77"/>
        <v>0</v>
      </c>
      <c r="AD163" s="298">
        <f t="shared" si="80"/>
        <v>0</v>
      </c>
    </row>
    <row r="164" spans="1:30" x14ac:dyDescent="0.2">
      <c r="A164" s="300" t="str">
        <f>Inputs!A128</f>
        <v>Funding 8</v>
      </c>
      <c r="B164" s="301">
        <f>Inputs!D128</f>
        <v>0</v>
      </c>
      <c r="C164" s="301">
        <f>Inputs!E128</f>
        <v>0</v>
      </c>
      <c r="D164" s="302">
        <f>Inputs!F128</f>
        <v>0</v>
      </c>
      <c r="E164" s="277">
        <f t="shared" si="78"/>
        <v>0</v>
      </c>
      <c r="J164" s="288">
        <f t="shared" si="67"/>
        <v>0</v>
      </c>
      <c r="K164" s="289">
        <f t="shared" si="68"/>
        <v>0</v>
      </c>
      <c r="L164" s="289">
        <f t="shared" si="69"/>
        <v>0</v>
      </c>
      <c r="M164" s="290">
        <f t="shared" si="70"/>
        <v>0</v>
      </c>
      <c r="O164" s="113"/>
      <c r="P164" s="281" t="str">
        <f t="shared" si="71"/>
        <v/>
      </c>
      <c r="R164" s="282" t="str">
        <f t="shared" si="72"/>
        <v/>
      </c>
      <c r="T164" s="282" t="str">
        <f t="shared" si="73"/>
        <v/>
      </c>
      <c r="U164" s="282">
        <f t="shared" si="79"/>
        <v>0</v>
      </c>
      <c r="V164">
        <f t="shared" si="74"/>
        <v>0</v>
      </c>
      <c r="Y164" s="298">
        <f t="shared" si="75"/>
        <v>0</v>
      </c>
      <c r="Z164" s="299"/>
      <c r="AA164" s="299">
        <f t="shared" si="76"/>
        <v>0</v>
      </c>
      <c r="AB164" s="299"/>
      <c r="AC164" s="299">
        <f t="shared" si="77"/>
        <v>0</v>
      </c>
      <c r="AD164" s="298">
        <f t="shared" si="80"/>
        <v>0</v>
      </c>
    </row>
    <row r="165" spans="1:30" x14ac:dyDescent="0.2">
      <c r="A165" s="300" t="str">
        <f>Inputs!A129</f>
        <v>Funding 9</v>
      </c>
      <c r="B165" s="301">
        <f>Inputs!D129</f>
        <v>0</v>
      </c>
      <c r="C165" s="301">
        <f>Inputs!E129</f>
        <v>0</v>
      </c>
      <c r="D165" s="302">
        <f>Inputs!F129</f>
        <v>0</v>
      </c>
      <c r="E165" s="277">
        <f t="shared" si="78"/>
        <v>0</v>
      </c>
      <c r="J165" s="288">
        <f t="shared" si="67"/>
        <v>0</v>
      </c>
      <c r="K165" s="289">
        <f t="shared" si="68"/>
        <v>0</v>
      </c>
      <c r="L165" s="289">
        <f t="shared" si="69"/>
        <v>0</v>
      </c>
      <c r="M165" s="290">
        <f t="shared" si="70"/>
        <v>0</v>
      </c>
      <c r="O165" s="113"/>
      <c r="P165" s="281" t="str">
        <f t="shared" si="71"/>
        <v/>
      </c>
      <c r="R165" s="282" t="str">
        <f t="shared" si="72"/>
        <v/>
      </c>
      <c r="T165" s="282" t="str">
        <f t="shared" si="73"/>
        <v/>
      </c>
      <c r="U165" s="282">
        <f t="shared" si="79"/>
        <v>0</v>
      </c>
      <c r="V165">
        <f t="shared" si="74"/>
        <v>0</v>
      </c>
      <c r="Y165" s="298">
        <f t="shared" si="75"/>
        <v>0</v>
      </c>
      <c r="Z165" s="299"/>
      <c r="AA165" s="299">
        <f t="shared" si="76"/>
        <v>0</v>
      </c>
      <c r="AB165" s="299"/>
      <c r="AC165" s="299">
        <f t="shared" si="77"/>
        <v>0</v>
      </c>
      <c r="AD165" s="298">
        <f t="shared" si="80"/>
        <v>0</v>
      </c>
    </row>
    <row r="166" spans="1:30" x14ac:dyDescent="0.2">
      <c r="A166" s="300" t="str">
        <f>Inputs!A130</f>
        <v>Funding 10</v>
      </c>
      <c r="B166" s="301">
        <f>Inputs!D130</f>
        <v>0</v>
      </c>
      <c r="C166" s="301">
        <f>Inputs!E130</f>
        <v>0</v>
      </c>
      <c r="D166" s="302">
        <f>Inputs!F130</f>
        <v>0</v>
      </c>
      <c r="E166" s="277">
        <f t="shared" si="78"/>
        <v>0</v>
      </c>
      <c r="J166" s="288">
        <f t="shared" si="67"/>
        <v>0</v>
      </c>
      <c r="K166" s="289">
        <f t="shared" si="68"/>
        <v>0</v>
      </c>
      <c r="L166" s="289">
        <f t="shared" si="69"/>
        <v>0</v>
      </c>
      <c r="M166" s="290">
        <f t="shared" si="70"/>
        <v>0</v>
      </c>
      <c r="O166" s="113"/>
      <c r="P166" s="281" t="str">
        <f t="shared" si="71"/>
        <v/>
      </c>
      <c r="R166" s="282" t="str">
        <f t="shared" si="72"/>
        <v/>
      </c>
      <c r="T166" s="282" t="str">
        <f t="shared" si="73"/>
        <v/>
      </c>
      <c r="U166" s="282">
        <f t="shared" si="79"/>
        <v>0</v>
      </c>
      <c r="V166">
        <f t="shared" si="74"/>
        <v>0</v>
      </c>
      <c r="Y166" s="298">
        <f t="shared" si="75"/>
        <v>0</v>
      </c>
      <c r="Z166" s="299"/>
      <c r="AA166" s="299">
        <f t="shared" si="76"/>
        <v>0</v>
      </c>
      <c r="AB166" s="299"/>
      <c r="AC166" s="299">
        <f t="shared" si="77"/>
        <v>0</v>
      </c>
      <c r="AD166" s="298">
        <f t="shared" si="80"/>
        <v>0</v>
      </c>
    </row>
    <row r="167" spans="1:30" ht="13.5" thickBot="1" x14ac:dyDescent="0.25">
      <c r="A167" s="49" t="s">
        <v>23</v>
      </c>
      <c r="D167" s="274">
        <f>SUM(D157:D166)</f>
        <v>0</v>
      </c>
      <c r="E167" s="274"/>
      <c r="J167" s="291">
        <f>SUM(J157:J166)</f>
        <v>0</v>
      </c>
      <c r="K167" s="292">
        <f>SUM(K157:K166)</f>
        <v>0</v>
      </c>
      <c r="L167" s="292">
        <f>SUM(L157:L166)</f>
        <v>0</v>
      </c>
      <c r="M167" s="293">
        <f>SUM(M157:M166)</f>
        <v>0</v>
      </c>
      <c r="O167" s="273"/>
      <c r="P167" s="281"/>
      <c r="R167" s="275"/>
      <c r="T167" s="275"/>
      <c r="U167" s="275"/>
    </row>
    <row r="172" spans="1:30" x14ac:dyDescent="0.2">
      <c r="E172" s="294"/>
    </row>
  </sheetData>
  <sheetProtection algorithmName="SHA-512" hashValue="Vz4K4qEtKbvmMRnAaHjwTHSi1gV90jzmUBxywd7N1j8b/YVMzmtbgwmbrdg4Y+wJYKqRjIUhACRX8L8T5AGDTA==" saltValue="1urjeS8WbZdWFvI9wRII9A==" spinCount="100000" sheet="1" objects="1" scenarios="1"/>
  <mergeCells count="9">
    <mergeCell ref="O129:O131"/>
    <mergeCell ref="A96:C96"/>
    <mergeCell ref="A97:C97"/>
    <mergeCell ref="A100:E100"/>
    <mergeCell ref="O2:Q4"/>
    <mergeCell ref="K14:L14"/>
    <mergeCell ref="A3:M3"/>
    <mergeCell ref="A1:B2"/>
    <mergeCell ref="A128:M128"/>
  </mergeCells>
  <pageMargins left="0.75" right="0.75" top="0.7" bottom="0.7" header="0.25" footer="0.25"/>
  <pageSetup scale="53" fitToHeight="2" orientation="portrait" r:id="rId1"/>
  <headerFooter alignWithMargins="0">
    <oddFooter>&amp;L&amp;9&amp;F
© Copyright 2016 Nurse-Family Partnership.  All rights reserved.&amp;R&amp;9Printed &amp;D  &amp;T&amp;C&amp;1#&amp;"Calibri"&amp;8&amp;KFF8C00This Document is Internal for Nurse-Family Partnership and Child First. Please only Share with Approved Parties.</oddFooter>
  </headerFooter>
  <rowBreaks count="1" manualBreakCount="1">
    <brk id="9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70188-E0DD-4632-A302-27CEE90C2746}">
  <sheetPr codeName="Sheet5"/>
  <dimension ref="A1:Q40"/>
  <sheetViews>
    <sheetView workbookViewId="0">
      <pane ySplit="1" topLeftCell="A2" activePane="bottomLeft" state="frozen"/>
      <selection pane="bottomLeft" activeCell="M39" sqref="M39"/>
    </sheetView>
  </sheetViews>
  <sheetFormatPr defaultRowHeight="12.75" x14ac:dyDescent="0.2"/>
  <cols>
    <col min="1" max="1" width="4.5703125" customWidth="1"/>
    <col min="2" max="2" width="3.7109375" customWidth="1"/>
    <col min="3" max="3" width="24.85546875" customWidth="1"/>
    <col min="4" max="4" width="11.140625" bestFit="1" customWidth="1"/>
    <col min="5" max="7" width="8.5703125" bestFit="1" customWidth="1"/>
  </cols>
  <sheetData>
    <row r="1" spans="1:17" ht="12.95" customHeight="1" x14ac:dyDescent="0.2">
      <c r="A1" s="317">
        <v>1</v>
      </c>
      <c r="D1" s="311">
        <v>2021</v>
      </c>
      <c r="E1" s="311">
        <v>2022</v>
      </c>
      <c r="F1" s="311">
        <v>2023</v>
      </c>
      <c r="G1" s="311">
        <v>2024</v>
      </c>
      <c r="H1" s="311">
        <v>2025</v>
      </c>
      <c r="I1" s="311">
        <v>2026</v>
      </c>
      <c r="K1" s="744" t="s">
        <v>292</v>
      </c>
      <c r="L1" s="744"/>
      <c r="M1" s="744"/>
      <c r="N1" s="744"/>
      <c r="O1" s="744"/>
      <c r="P1" s="744"/>
      <c r="Q1" s="744"/>
    </row>
    <row r="2" spans="1:17" ht="12.95" customHeight="1" x14ac:dyDescent="0.2">
      <c r="A2" s="317">
        <f>+A1+1</f>
        <v>2</v>
      </c>
      <c r="B2" s="113" t="s">
        <v>293</v>
      </c>
      <c r="D2" s="313">
        <v>31836</v>
      </c>
      <c r="E2" s="316">
        <f>+D2*1.03</f>
        <v>32791.08</v>
      </c>
      <c r="F2" s="316">
        <f>+E2*1.03</f>
        <v>33774.812400000003</v>
      </c>
      <c r="G2" s="316">
        <f t="shared" ref="G2:I2" si="0">+F2*1.03</f>
        <v>34788.056772000004</v>
      </c>
      <c r="H2" s="316">
        <f t="shared" si="0"/>
        <v>35831.698475160003</v>
      </c>
      <c r="I2" s="316">
        <f t="shared" si="0"/>
        <v>36906.649429414807</v>
      </c>
      <c r="K2" s="744"/>
      <c r="L2" s="744"/>
      <c r="M2" s="744"/>
      <c r="N2" s="744"/>
      <c r="O2" s="744"/>
      <c r="P2" s="744"/>
      <c r="Q2" s="744"/>
    </row>
    <row r="3" spans="1:17" ht="12.6" customHeight="1" x14ac:dyDescent="0.2">
      <c r="A3" s="317">
        <f t="shared" ref="A3:A36" si="1">+A2+1</f>
        <v>3</v>
      </c>
      <c r="K3" s="744"/>
      <c r="L3" s="744"/>
      <c r="M3" s="744"/>
      <c r="N3" s="744"/>
      <c r="O3" s="744"/>
      <c r="P3" s="744"/>
      <c r="Q3" s="744"/>
    </row>
    <row r="4" spans="1:17" ht="12.95" customHeight="1" x14ac:dyDescent="0.2">
      <c r="A4" s="317">
        <f t="shared" si="1"/>
        <v>4</v>
      </c>
      <c r="B4" s="113" t="s">
        <v>294</v>
      </c>
      <c r="C4" s="113"/>
      <c r="K4" s="744"/>
      <c r="L4" s="744"/>
      <c r="M4" s="744"/>
      <c r="N4" s="744"/>
      <c r="O4" s="744"/>
      <c r="P4" s="744"/>
      <c r="Q4" s="744"/>
    </row>
    <row r="5" spans="1:17" x14ac:dyDescent="0.2">
      <c r="A5" s="317">
        <f t="shared" si="1"/>
        <v>5</v>
      </c>
      <c r="B5" s="49" t="s">
        <v>295</v>
      </c>
      <c r="C5" s="49"/>
      <c r="D5" s="313">
        <v>5100</v>
      </c>
      <c r="E5" s="313">
        <v>5254</v>
      </c>
      <c r="F5" s="313">
        <f>+E5*1.03</f>
        <v>5411.62</v>
      </c>
      <c r="G5" s="313">
        <f t="shared" ref="G5:I5" si="2">+F5*1.03</f>
        <v>5573.9686000000002</v>
      </c>
      <c r="H5" s="313">
        <f t="shared" si="2"/>
        <v>5741.1876580000007</v>
      </c>
      <c r="I5" s="313">
        <f t="shared" si="2"/>
        <v>5913.4232877400009</v>
      </c>
      <c r="K5" s="744"/>
      <c r="L5" s="744"/>
      <c r="M5" s="744"/>
      <c r="N5" s="744"/>
      <c r="O5" s="744"/>
      <c r="P5" s="744"/>
      <c r="Q5" s="744"/>
    </row>
    <row r="6" spans="1:17" x14ac:dyDescent="0.2">
      <c r="A6" s="317">
        <f t="shared" si="1"/>
        <v>6</v>
      </c>
      <c r="B6" s="49" t="s">
        <v>296</v>
      </c>
      <c r="D6" s="313">
        <v>648</v>
      </c>
      <c r="E6" s="313">
        <v>667</v>
      </c>
      <c r="F6" s="313">
        <f t="shared" ref="F6:I11" si="3">+E6*1.03</f>
        <v>687.01</v>
      </c>
      <c r="G6" s="313">
        <f t="shared" si="3"/>
        <v>707.62030000000004</v>
      </c>
      <c r="H6" s="313">
        <f t="shared" si="3"/>
        <v>728.84890900000005</v>
      </c>
      <c r="I6" s="313">
        <f t="shared" si="3"/>
        <v>750.71437627000012</v>
      </c>
      <c r="K6" s="744"/>
      <c r="L6" s="744"/>
      <c r="M6" s="744"/>
      <c r="N6" s="744"/>
      <c r="O6" s="744"/>
      <c r="P6" s="744"/>
      <c r="Q6" s="744"/>
    </row>
    <row r="7" spans="1:17" x14ac:dyDescent="0.2">
      <c r="A7" s="317">
        <f t="shared" si="1"/>
        <v>7</v>
      </c>
      <c r="B7" s="49" t="s">
        <v>297</v>
      </c>
      <c r="C7" s="49"/>
      <c r="D7" s="313">
        <v>922</v>
      </c>
      <c r="E7" s="313">
        <v>950</v>
      </c>
      <c r="F7" s="313">
        <f t="shared" si="3"/>
        <v>978.5</v>
      </c>
      <c r="G7" s="313">
        <f t="shared" si="3"/>
        <v>1007.855</v>
      </c>
      <c r="H7" s="313">
        <f t="shared" si="3"/>
        <v>1038.0906500000001</v>
      </c>
      <c r="I7" s="313">
        <f t="shared" si="3"/>
        <v>1069.2333695000002</v>
      </c>
      <c r="K7" s="744"/>
      <c r="L7" s="744"/>
      <c r="M7" s="744"/>
      <c r="N7" s="744"/>
      <c r="O7" s="744"/>
      <c r="P7" s="744"/>
      <c r="Q7" s="744"/>
    </row>
    <row r="8" spans="1:17" x14ac:dyDescent="0.2">
      <c r="A8" s="317">
        <f t="shared" si="1"/>
        <v>8</v>
      </c>
      <c r="B8" s="49" t="s">
        <v>298</v>
      </c>
      <c r="C8" s="49"/>
      <c r="D8" s="313">
        <v>800</v>
      </c>
      <c r="E8" s="313">
        <v>825</v>
      </c>
      <c r="F8" s="313">
        <f t="shared" si="3"/>
        <v>849.75</v>
      </c>
      <c r="G8" s="313">
        <f t="shared" si="3"/>
        <v>875.24250000000006</v>
      </c>
      <c r="H8" s="313">
        <f t="shared" si="3"/>
        <v>901.49977500000011</v>
      </c>
      <c r="I8" s="313">
        <f t="shared" si="3"/>
        <v>928.54476825000017</v>
      </c>
    </row>
    <row r="9" spans="1:17" x14ac:dyDescent="0.2">
      <c r="A9" s="317">
        <f t="shared" si="1"/>
        <v>9</v>
      </c>
      <c r="B9" s="49" t="s">
        <v>299</v>
      </c>
      <c r="C9" s="49"/>
      <c r="D9" s="313">
        <v>603</v>
      </c>
      <c r="E9" s="313">
        <v>621</v>
      </c>
      <c r="F9" s="313">
        <f t="shared" si="3"/>
        <v>639.63</v>
      </c>
      <c r="G9" s="313">
        <f t="shared" si="3"/>
        <v>658.81889999999999</v>
      </c>
      <c r="H9" s="313">
        <f t="shared" si="3"/>
        <v>678.58346700000004</v>
      </c>
      <c r="I9" s="313">
        <f t="shared" si="3"/>
        <v>698.94097101000011</v>
      </c>
    </row>
    <row r="10" spans="1:17" x14ac:dyDescent="0.2">
      <c r="A10" s="317">
        <f t="shared" si="1"/>
        <v>10</v>
      </c>
      <c r="B10" s="49" t="s">
        <v>300</v>
      </c>
      <c r="C10" s="49"/>
      <c r="D10" s="313">
        <v>282</v>
      </c>
      <c r="E10" s="313">
        <v>290</v>
      </c>
      <c r="F10" s="313">
        <f t="shared" si="3"/>
        <v>298.7</v>
      </c>
      <c r="G10" s="313">
        <f t="shared" si="3"/>
        <v>307.661</v>
      </c>
      <c r="H10" s="313">
        <f t="shared" si="3"/>
        <v>316.89082999999999</v>
      </c>
      <c r="I10" s="313">
        <f t="shared" si="3"/>
        <v>326.39755489999999</v>
      </c>
    </row>
    <row r="11" spans="1:17" x14ac:dyDescent="0.2">
      <c r="A11" s="317">
        <f t="shared" si="1"/>
        <v>11</v>
      </c>
      <c r="B11" s="49" t="s">
        <v>301</v>
      </c>
      <c r="D11" s="313">
        <v>399</v>
      </c>
      <c r="E11" s="313">
        <f>+D11*1.03</f>
        <v>410.97</v>
      </c>
      <c r="F11" s="313">
        <f t="shared" si="3"/>
        <v>423.29910000000007</v>
      </c>
      <c r="G11" s="313">
        <f t="shared" si="3"/>
        <v>435.99807300000009</v>
      </c>
      <c r="H11" s="313">
        <f t="shared" si="3"/>
        <v>449.07801519000009</v>
      </c>
      <c r="I11" s="313">
        <f t="shared" si="3"/>
        <v>462.55035564570011</v>
      </c>
    </row>
    <row r="12" spans="1:17" x14ac:dyDescent="0.2">
      <c r="A12" s="317">
        <f t="shared" si="1"/>
        <v>12</v>
      </c>
      <c r="B12" s="410" t="s">
        <v>302</v>
      </c>
      <c r="C12" s="410"/>
      <c r="D12" s="411">
        <f>+D7+D5</f>
        <v>6022</v>
      </c>
      <c r="E12" s="411">
        <f t="shared" ref="E12:I12" si="4">+E7+E5</f>
        <v>6204</v>
      </c>
      <c r="F12" s="411">
        <f t="shared" si="4"/>
        <v>6390.12</v>
      </c>
      <c r="G12" s="411">
        <f t="shared" si="4"/>
        <v>6581.8235999999997</v>
      </c>
      <c r="H12" s="411">
        <f t="shared" si="4"/>
        <v>6779.2783080000008</v>
      </c>
      <c r="I12" s="411">
        <f t="shared" si="4"/>
        <v>6982.6566572400006</v>
      </c>
    </row>
    <row r="13" spans="1:17" hidden="1" x14ac:dyDescent="0.2">
      <c r="A13" s="317">
        <f t="shared" si="1"/>
        <v>13</v>
      </c>
      <c r="B13" s="113" t="s">
        <v>303</v>
      </c>
      <c r="C13" s="113"/>
    </row>
    <row r="14" spans="1:17" x14ac:dyDescent="0.2">
      <c r="A14" s="317">
        <f t="shared" si="1"/>
        <v>14</v>
      </c>
      <c r="B14" s="113" t="s">
        <v>304</v>
      </c>
      <c r="C14" s="312"/>
    </row>
    <row r="15" spans="1:17" x14ac:dyDescent="0.2">
      <c r="A15" s="317">
        <f t="shared" si="1"/>
        <v>15</v>
      </c>
      <c r="B15" s="312" t="s">
        <v>305</v>
      </c>
    </row>
    <row r="16" spans="1:17" x14ac:dyDescent="0.2">
      <c r="A16" s="317">
        <f t="shared" si="1"/>
        <v>16</v>
      </c>
      <c r="B16" s="49">
        <v>2</v>
      </c>
      <c r="C16" s="49" t="s">
        <v>306</v>
      </c>
      <c r="D16" s="313">
        <v>20304</v>
      </c>
      <c r="E16" s="313">
        <v>20568</v>
      </c>
      <c r="F16" s="313">
        <v>22512</v>
      </c>
      <c r="G16" s="315">
        <v>22716</v>
      </c>
      <c r="H16" s="313">
        <f t="shared" ref="H16:I22" si="5">+G16*1.03</f>
        <v>23397.48</v>
      </c>
      <c r="I16" s="313">
        <f t="shared" si="5"/>
        <v>24099.404399999999</v>
      </c>
    </row>
    <row r="17" spans="1:9" x14ac:dyDescent="0.2">
      <c r="A17" s="317">
        <f t="shared" si="1"/>
        <v>17</v>
      </c>
      <c r="B17" s="49">
        <v>3</v>
      </c>
      <c r="C17" s="49" t="s">
        <v>306</v>
      </c>
      <c r="D17" s="313">
        <v>21024</v>
      </c>
      <c r="E17" s="313">
        <v>21420</v>
      </c>
      <c r="F17" s="315">
        <v>24336</v>
      </c>
      <c r="G17" s="315">
        <v>24636</v>
      </c>
      <c r="H17" s="313">
        <f t="shared" si="5"/>
        <v>25375.08</v>
      </c>
      <c r="I17" s="313">
        <f t="shared" si="5"/>
        <v>26136.332400000003</v>
      </c>
    </row>
    <row r="18" spans="1:9" x14ac:dyDescent="0.2">
      <c r="A18" s="317">
        <f t="shared" si="1"/>
        <v>18</v>
      </c>
      <c r="B18" s="49">
        <v>4</v>
      </c>
      <c r="C18" s="49" t="s">
        <v>306</v>
      </c>
      <c r="D18" s="313">
        <v>21744</v>
      </c>
      <c r="E18" s="313">
        <v>22260</v>
      </c>
      <c r="F18" s="315">
        <v>26160</v>
      </c>
      <c r="G18" s="315">
        <v>26568</v>
      </c>
      <c r="H18" s="313">
        <f t="shared" si="5"/>
        <v>27365.040000000001</v>
      </c>
      <c r="I18" s="313">
        <f t="shared" si="5"/>
        <v>28185.9912</v>
      </c>
    </row>
    <row r="19" spans="1:9" x14ac:dyDescent="0.2">
      <c r="A19" s="317">
        <f t="shared" si="1"/>
        <v>19</v>
      </c>
      <c r="B19" s="49">
        <v>5</v>
      </c>
      <c r="C19" s="49" t="s">
        <v>306</v>
      </c>
      <c r="D19" s="313">
        <v>22464</v>
      </c>
      <c r="E19" s="313">
        <v>23112</v>
      </c>
      <c r="F19" s="315">
        <v>27984</v>
      </c>
      <c r="G19" s="315">
        <v>28488</v>
      </c>
      <c r="H19" s="313">
        <f t="shared" si="5"/>
        <v>29342.639999999999</v>
      </c>
      <c r="I19" s="313">
        <f t="shared" si="5"/>
        <v>30222.9192</v>
      </c>
    </row>
    <row r="20" spans="1:9" x14ac:dyDescent="0.2">
      <c r="A20" s="317">
        <f t="shared" si="1"/>
        <v>20</v>
      </c>
      <c r="B20" s="49">
        <v>6</v>
      </c>
      <c r="C20" s="49" t="s">
        <v>306</v>
      </c>
      <c r="D20" s="313">
        <v>23184</v>
      </c>
      <c r="E20" s="313">
        <v>23964</v>
      </c>
      <c r="F20" s="315">
        <v>29820</v>
      </c>
      <c r="G20" s="315">
        <v>30420</v>
      </c>
      <c r="H20" s="313">
        <f t="shared" si="5"/>
        <v>31332.600000000002</v>
      </c>
      <c r="I20" s="313">
        <f t="shared" si="5"/>
        <v>32272.578000000001</v>
      </c>
    </row>
    <row r="21" spans="1:9" x14ac:dyDescent="0.2">
      <c r="A21" s="317">
        <f t="shared" si="1"/>
        <v>21</v>
      </c>
      <c r="B21" s="49">
        <v>7</v>
      </c>
      <c r="C21" s="49" t="s">
        <v>306</v>
      </c>
      <c r="D21" s="313">
        <v>23904</v>
      </c>
      <c r="E21" s="313">
        <v>24816</v>
      </c>
      <c r="F21" s="315">
        <v>31644</v>
      </c>
      <c r="G21" s="315">
        <v>32340</v>
      </c>
      <c r="H21" s="313">
        <f t="shared" si="5"/>
        <v>33310.200000000004</v>
      </c>
      <c r="I21" s="313">
        <f t="shared" si="5"/>
        <v>34309.506000000008</v>
      </c>
    </row>
    <row r="22" spans="1:9" x14ac:dyDescent="0.2">
      <c r="A22" s="317">
        <f t="shared" si="1"/>
        <v>22</v>
      </c>
      <c r="B22" s="49">
        <v>8</v>
      </c>
      <c r="C22" s="49" t="s">
        <v>306</v>
      </c>
      <c r="D22" s="313">
        <v>24624</v>
      </c>
      <c r="E22" s="313">
        <v>25668</v>
      </c>
      <c r="F22" s="315">
        <v>33468</v>
      </c>
      <c r="G22" s="315">
        <v>34260</v>
      </c>
      <c r="H22" s="313">
        <f t="shared" si="5"/>
        <v>35287.800000000003</v>
      </c>
      <c r="I22" s="313">
        <f t="shared" si="5"/>
        <v>36346.434000000001</v>
      </c>
    </row>
    <row r="23" spans="1:9" x14ac:dyDescent="0.2">
      <c r="A23" s="317">
        <f t="shared" si="1"/>
        <v>23</v>
      </c>
    </row>
    <row r="24" spans="1:9" x14ac:dyDescent="0.2">
      <c r="A24" s="317">
        <f t="shared" si="1"/>
        <v>24</v>
      </c>
      <c r="B24" s="312" t="s">
        <v>307</v>
      </c>
      <c r="C24" s="312"/>
    </row>
    <row r="25" spans="1:9" x14ac:dyDescent="0.2">
      <c r="A25" s="317">
        <f t="shared" si="1"/>
        <v>25</v>
      </c>
      <c r="B25" s="49">
        <v>2</v>
      </c>
      <c r="C25" s="49" t="s">
        <v>306</v>
      </c>
      <c r="D25" s="313">
        <v>18456</v>
      </c>
      <c r="E25" s="313">
        <v>18720</v>
      </c>
      <c r="F25" s="315">
        <v>20664</v>
      </c>
      <c r="G25" s="313">
        <v>22716</v>
      </c>
      <c r="H25" s="313">
        <f t="shared" ref="H25:I25" si="6">+G25*1.03</f>
        <v>23397.48</v>
      </c>
      <c r="I25" s="313">
        <f t="shared" si="6"/>
        <v>24099.404399999999</v>
      </c>
    </row>
    <row r="26" spans="1:9" x14ac:dyDescent="0.2">
      <c r="A26" s="317">
        <f t="shared" si="1"/>
        <v>26</v>
      </c>
      <c r="B26" s="49">
        <v>3</v>
      </c>
      <c r="C26" s="49" t="s">
        <v>306</v>
      </c>
      <c r="D26" s="313">
        <v>19176</v>
      </c>
      <c r="E26" s="313">
        <v>19572</v>
      </c>
      <c r="F26" s="315">
        <v>22500</v>
      </c>
      <c r="G26" s="313">
        <v>24636</v>
      </c>
      <c r="H26" s="313">
        <f t="shared" ref="H26:I26" si="7">+G26*1.03</f>
        <v>25375.08</v>
      </c>
      <c r="I26" s="313">
        <f t="shared" si="7"/>
        <v>26136.332400000003</v>
      </c>
    </row>
    <row r="27" spans="1:9" x14ac:dyDescent="0.2">
      <c r="A27" s="317">
        <f t="shared" si="1"/>
        <v>27</v>
      </c>
      <c r="B27" s="49">
        <v>4</v>
      </c>
      <c r="C27" s="49" t="s">
        <v>306</v>
      </c>
      <c r="D27" s="313">
        <v>19896</v>
      </c>
      <c r="E27" s="313">
        <v>20424</v>
      </c>
      <c r="F27" s="315">
        <v>24324</v>
      </c>
      <c r="G27" s="313">
        <v>26568</v>
      </c>
      <c r="H27" s="313">
        <f t="shared" ref="H27:I27" si="8">+G27*1.03</f>
        <v>27365.040000000001</v>
      </c>
      <c r="I27" s="313">
        <f t="shared" si="8"/>
        <v>28185.9912</v>
      </c>
    </row>
    <row r="28" spans="1:9" x14ac:dyDescent="0.2">
      <c r="A28" s="317">
        <f t="shared" si="1"/>
        <v>28</v>
      </c>
      <c r="B28" s="49">
        <v>5</v>
      </c>
      <c r="C28" s="49" t="s">
        <v>306</v>
      </c>
      <c r="D28" s="313">
        <v>20616</v>
      </c>
      <c r="E28" s="313">
        <v>21264</v>
      </c>
      <c r="F28" s="315">
        <v>26148</v>
      </c>
      <c r="G28" s="313">
        <v>28488</v>
      </c>
      <c r="H28" s="313">
        <f t="shared" ref="H28:I28" si="9">+G28*1.03</f>
        <v>29342.639999999999</v>
      </c>
      <c r="I28" s="313">
        <f t="shared" si="9"/>
        <v>30222.9192</v>
      </c>
    </row>
    <row r="29" spans="1:9" x14ac:dyDescent="0.2">
      <c r="A29" s="317">
        <f t="shared" si="1"/>
        <v>29</v>
      </c>
      <c r="B29" s="49">
        <v>6</v>
      </c>
      <c r="C29" s="49" t="s">
        <v>306</v>
      </c>
      <c r="D29" s="313">
        <v>21336</v>
      </c>
      <c r="E29" s="313">
        <v>22116</v>
      </c>
      <c r="F29" s="315">
        <v>27972</v>
      </c>
      <c r="G29" s="313">
        <v>30420</v>
      </c>
      <c r="H29" s="313">
        <f t="shared" ref="H29:I29" si="10">+G29*1.03</f>
        <v>31332.600000000002</v>
      </c>
      <c r="I29" s="313">
        <f t="shared" si="10"/>
        <v>32272.578000000001</v>
      </c>
    </row>
    <row r="30" spans="1:9" x14ac:dyDescent="0.2">
      <c r="A30" s="317">
        <f t="shared" si="1"/>
        <v>30</v>
      </c>
      <c r="B30" s="49">
        <v>7</v>
      </c>
      <c r="C30" s="49" t="s">
        <v>306</v>
      </c>
      <c r="D30" s="313">
        <v>22056</v>
      </c>
      <c r="E30" s="313">
        <v>22968</v>
      </c>
      <c r="F30" s="315">
        <v>29796</v>
      </c>
      <c r="G30" s="313">
        <v>32340</v>
      </c>
      <c r="H30" s="313">
        <f t="shared" ref="H30:I30" si="11">+G30*1.03</f>
        <v>33310.200000000004</v>
      </c>
      <c r="I30" s="313">
        <f t="shared" si="11"/>
        <v>34309.506000000008</v>
      </c>
    </row>
    <row r="31" spans="1:9" x14ac:dyDescent="0.2">
      <c r="A31" s="317">
        <f t="shared" si="1"/>
        <v>31</v>
      </c>
      <c r="B31" s="49">
        <v>8</v>
      </c>
      <c r="C31" s="49" t="s">
        <v>306</v>
      </c>
      <c r="D31" s="313">
        <v>22776</v>
      </c>
      <c r="E31" s="313">
        <v>23820</v>
      </c>
      <c r="F31" s="315">
        <v>31620</v>
      </c>
      <c r="G31" s="313">
        <v>34260</v>
      </c>
      <c r="H31" s="313">
        <f t="shared" ref="H31:I31" si="12">+G31*1.03</f>
        <v>35287.800000000003</v>
      </c>
      <c r="I31" s="313">
        <f t="shared" si="12"/>
        <v>36346.434000000001</v>
      </c>
    </row>
    <row r="32" spans="1:9" x14ac:dyDescent="0.2">
      <c r="A32" s="317">
        <f t="shared" si="1"/>
        <v>32</v>
      </c>
    </row>
    <row r="33" spans="1:9" x14ac:dyDescent="0.2">
      <c r="A33" s="317">
        <f t="shared" si="1"/>
        <v>33</v>
      </c>
      <c r="B33" s="113" t="s">
        <v>308</v>
      </c>
    </row>
    <row r="34" spans="1:9" x14ac:dyDescent="0.2">
      <c r="A34" s="317">
        <f t="shared" si="1"/>
        <v>34</v>
      </c>
      <c r="B34" s="49" t="s">
        <v>309</v>
      </c>
      <c r="D34" s="313">
        <v>3462</v>
      </c>
      <c r="E34" s="313">
        <v>3566</v>
      </c>
      <c r="F34" s="313">
        <f>+E34*1.03</f>
        <v>3672.98</v>
      </c>
      <c r="G34" s="313">
        <f t="shared" ref="G34:I34" si="13">+F34*1.03</f>
        <v>3783.1694000000002</v>
      </c>
      <c r="H34" s="313">
        <f t="shared" si="13"/>
        <v>3896.6644820000001</v>
      </c>
      <c r="I34" s="313">
        <f t="shared" si="13"/>
        <v>4013.5644164600003</v>
      </c>
    </row>
    <row r="35" spans="1:9" x14ac:dyDescent="0.2">
      <c r="A35" s="317">
        <f t="shared" si="1"/>
        <v>35</v>
      </c>
      <c r="B35" s="49" t="s">
        <v>310</v>
      </c>
      <c r="D35" s="313">
        <v>19781</v>
      </c>
      <c r="E35" s="313">
        <v>20374</v>
      </c>
      <c r="F35" s="313">
        <f t="shared" ref="F35:I36" si="14">+E35*1.03</f>
        <v>20985.22</v>
      </c>
      <c r="G35" s="313">
        <f t="shared" si="14"/>
        <v>21614.776600000001</v>
      </c>
      <c r="H35" s="313">
        <f t="shared" si="14"/>
        <v>22263.219898000003</v>
      </c>
      <c r="I35" s="313">
        <f t="shared" si="14"/>
        <v>22931.116494940004</v>
      </c>
    </row>
    <row r="36" spans="1:9" x14ac:dyDescent="0.2">
      <c r="A36" s="317">
        <f t="shared" si="1"/>
        <v>36</v>
      </c>
      <c r="B36" s="49" t="s">
        <v>311</v>
      </c>
      <c r="D36" s="313">
        <v>24726</v>
      </c>
      <c r="E36" s="313">
        <v>25468</v>
      </c>
      <c r="F36" s="313">
        <f t="shared" si="14"/>
        <v>26232.04</v>
      </c>
      <c r="G36" s="313">
        <f t="shared" si="14"/>
        <v>27019.001200000002</v>
      </c>
      <c r="H36" s="313">
        <f t="shared" si="14"/>
        <v>27829.571236000003</v>
      </c>
      <c r="I36" s="313">
        <f t="shared" si="14"/>
        <v>28664.458373080004</v>
      </c>
    </row>
    <row r="37" spans="1:9" x14ac:dyDescent="0.2">
      <c r="G37" s="314"/>
    </row>
    <row r="39" spans="1:9" ht="9.9499999999999993" customHeight="1" x14ac:dyDescent="0.2"/>
    <row r="40" spans="1:9" hidden="1" x14ac:dyDescent="0.2"/>
  </sheetData>
  <sheetProtection algorithmName="SHA-512" hashValue="2kywzCTKNgehG4hvs2InRVUeafD0Q24WG7vKX3z8jfn5lyV/zJ17UtQ42Nkgrvx4RUpgalJCiWb7Mtkc83WgDg==" saltValue="+gAo3IJoi2TR+jDeUQoHgQ==" spinCount="100000" sheet="1" objects="1" scenarios="1"/>
  <mergeCells count="1">
    <mergeCell ref="K1:Q7"/>
  </mergeCells>
  <phoneticPr fontId="23" type="noConversion"/>
  <pageMargins left="0.7" right="0.7" top="0.75" bottom="0.75" header="0.3" footer="0.3"/>
  <pageSetup orientation="portrait" r:id="rId1"/>
  <headerFooter>
    <oddFooter>&amp;C&amp;1#&amp;"Calibri"&amp;8&amp;KFF8C00This Document is Internal for Nurse-Family Partnership and Child First. Please only Share with Approved Parties.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957B1-311A-487E-8FD3-335C4ECC905A}">
  <sheetPr>
    <tabColor theme="9" tint="0.39997558519241921"/>
  </sheetPr>
  <dimension ref="A1:AT88"/>
  <sheetViews>
    <sheetView zoomScale="90" zoomScaleNormal="90" workbookViewId="0">
      <pane xSplit="2" ySplit="5" topLeftCell="C6" activePane="bottomRight" state="frozen"/>
      <selection pane="topRight" activeCell="C1" sqref="C1"/>
      <selection pane="bottomLeft" activeCell="A5" sqref="A5"/>
      <selection pane="bottomRight" activeCell="G74" sqref="G74"/>
    </sheetView>
  </sheetViews>
  <sheetFormatPr defaultRowHeight="12.75" x14ac:dyDescent="0.2"/>
  <cols>
    <col min="1" max="1" width="8.140625" customWidth="1"/>
    <col min="7" max="7" width="8.85546875" bestFit="1" customWidth="1"/>
    <col min="8" max="30" width="9.42578125" bestFit="1" customWidth="1"/>
    <col min="31" max="31" width="8.28515625" bestFit="1" customWidth="1"/>
    <col min="32" max="35" width="9.42578125" bestFit="1" customWidth="1"/>
    <col min="36" max="41" width="8.28515625" bestFit="1" customWidth="1"/>
  </cols>
  <sheetData>
    <row r="1" spans="1:41" ht="14.25" x14ac:dyDescent="0.2">
      <c r="A1" s="246" t="s">
        <v>312</v>
      </c>
    </row>
    <row r="2" spans="1:41" ht="13.5" thickBot="1" x14ac:dyDescent="0.25">
      <c r="A2" s="569" t="s">
        <v>313</v>
      </c>
    </row>
    <row r="3" spans="1:41" ht="13.5" thickBot="1" x14ac:dyDescent="0.25">
      <c r="A3" s="113" t="s">
        <v>314</v>
      </c>
      <c r="F3" s="773" t="s">
        <v>315</v>
      </c>
      <c r="G3" s="774"/>
      <c r="H3" s="774"/>
      <c r="I3" s="774"/>
      <c r="J3" s="774"/>
      <c r="K3" s="774"/>
      <c r="L3" s="774"/>
      <c r="M3" s="774"/>
      <c r="N3" s="774"/>
      <c r="O3" s="774"/>
      <c r="P3" s="774"/>
      <c r="Q3" s="775"/>
      <c r="R3" s="773" t="s">
        <v>316</v>
      </c>
      <c r="S3" s="774"/>
      <c r="T3" s="774"/>
      <c r="U3" s="774"/>
      <c r="V3" s="774"/>
      <c r="W3" s="774"/>
      <c r="X3" s="774"/>
      <c r="Y3" s="774"/>
      <c r="Z3" s="774"/>
      <c r="AA3" s="774"/>
      <c r="AB3" s="774"/>
      <c r="AC3" s="775"/>
      <c r="AD3" s="773" t="s">
        <v>317</v>
      </c>
      <c r="AE3" s="774"/>
      <c r="AF3" s="774"/>
      <c r="AG3" s="774"/>
      <c r="AH3" s="774"/>
      <c r="AI3" s="774"/>
      <c r="AJ3" s="774"/>
      <c r="AK3" s="774"/>
      <c r="AL3" s="774"/>
      <c r="AM3" s="774"/>
      <c r="AN3" s="774"/>
      <c r="AO3" s="775"/>
    </row>
    <row r="4" spans="1:41" ht="13.5" thickBot="1" x14ac:dyDescent="0.25">
      <c r="A4" s="113"/>
      <c r="B4" s="570" t="s">
        <v>318</v>
      </c>
      <c r="C4" s="570"/>
      <c r="D4" s="570"/>
      <c r="E4" s="570"/>
      <c r="F4" s="571">
        <v>1</v>
      </c>
      <c r="G4" s="571">
        <f>+F4+1</f>
        <v>2</v>
      </c>
      <c r="H4" s="571">
        <f t="shared" ref="H4:AO4" si="0">+G4+1</f>
        <v>3</v>
      </c>
      <c r="I4" s="571">
        <f t="shared" si="0"/>
        <v>4</v>
      </c>
      <c r="J4" s="571">
        <f t="shared" si="0"/>
        <v>5</v>
      </c>
      <c r="K4" s="571">
        <f t="shared" si="0"/>
        <v>6</v>
      </c>
      <c r="L4" s="571">
        <f t="shared" si="0"/>
        <v>7</v>
      </c>
      <c r="M4" s="571">
        <f t="shared" si="0"/>
        <v>8</v>
      </c>
      <c r="N4" s="571">
        <f t="shared" si="0"/>
        <v>9</v>
      </c>
      <c r="O4" s="571">
        <f t="shared" si="0"/>
        <v>10</v>
      </c>
      <c r="P4" s="571">
        <f t="shared" si="0"/>
        <v>11</v>
      </c>
      <c r="Q4" s="571">
        <f t="shared" si="0"/>
        <v>12</v>
      </c>
      <c r="R4" s="571">
        <f t="shared" si="0"/>
        <v>13</v>
      </c>
      <c r="S4" s="571">
        <f t="shared" si="0"/>
        <v>14</v>
      </c>
      <c r="T4" s="571">
        <f t="shared" si="0"/>
        <v>15</v>
      </c>
      <c r="U4" s="571">
        <f t="shared" si="0"/>
        <v>16</v>
      </c>
      <c r="V4" s="571">
        <f t="shared" si="0"/>
        <v>17</v>
      </c>
      <c r="W4" s="571">
        <f t="shared" si="0"/>
        <v>18</v>
      </c>
      <c r="X4" s="571">
        <f t="shared" si="0"/>
        <v>19</v>
      </c>
      <c r="Y4" s="571">
        <f t="shared" si="0"/>
        <v>20</v>
      </c>
      <c r="Z4" s="571">
        <f t="shared" si="0"/>
        <v>21</v>
      </c>
      <c r="AA4" s="571">
        <f t="shared" si="0"/>
        <v>22</v>
      </c>
      <c r="AB4" s="571">
        <f t="shared" si="0"/>
        <v>23</v>
      </c>
      <c r="AC4" s="571">
        <f t="shared" si="0"/>
        <v>24</v>
      </c>
      <c r="AD4" s="571">
        <f t="shared" si="0"/>
        <v>25</v>
      </c>
      <c r="AE4" s="571">
        <f t="shared" si="0"/>
        <v>26</v>
      </c>
      <c r="AF4" s="571">
        <f t="shared" si="0"/>
        <v>27</v>
      </c>
      <c r="AG4" s="571">
        <f t="shared" si="0"/>
        <v>28</v>
      </c>
      <c r="AH4" s="571">
        <f t="shared" si="0"/>
        <v>29</v>
      </c>
      <c r="AI4" s="571">
        <f t="shared" si="0"/>
        <v>30</v>
      </c>
      <c r="AJ4" s="571">
        <f t="shared" si="0"/>
        <v>31</v>
      </c>
      <c r="AK4" s="571">
        <f t="shared" si="0"/>
        <v>32</v>
      </c>
      <c r="AL4" s="571">
        <f t="shared" si="0"/>
        <v>33</v>
      </c>
      <c r="AM4" s="571">
        <f t="shared" si="0"/>
        <v>34</v>
      </c>
      <c r="AN4" s="571">
        <f t="shared" si="0"/>
        <v>35</v>
      </c>
      <c r="AO4" s="571">
        <f t="shared" si="0"/>
        <v>36</v>
      </c>
    </row>
    <row r="5" spans="1:41" ht="15.75" thickBot="1" x14ac:dyDescent="0.3">
      <c r="B5" s="572" t="s">
        <v>169</v>
      </c>
      <c r="C5" s="573" t="s">
        <v>319</v>
      </c>
      <c r="D5" s="574" t="s">
        <v>320</v>
      </c>
      <c r="E5" s="575" t="s">
        <v>321</v>
      </c>
      <c r="F5" s="576">
        <f>+Inputs!B26</f>
        <v>0</v>
      </c>
      <c r="G5" s="577">
        <f>EOMONTH(F5,0)+1</f>
        <v>32</v>
      </c>
      <c r="H5" s="577">
        <f>(EOMONTH(G5,0)+1)</f>
        <v>60</v>
      </c>
      <c r="I5" s="577">
        <f t="shared" ref="I5:AO5" si="1">EOMONTH(H5,0)+1</f>
        <v>60</v>
      </c>
      <c r="J5" s="577">
        <f t="shared" si="1"/>
        <v>60</v>
      </c>
      <c r="K5" s="577">
        <f t="shared" si="1"/>
        <v>60</v>
      </c>
      <c r="L5" s="577">
        <f t="shared" si="1"/>
        <v>60</v>
      </c>
      <c r="M5" s="577">
        <f t="shared" si="1"/>
        <v>60</v>
      </c>
      <c r="N5" s="577">
        <f t="shared" si="1"/>
        <v>60</v>
      </c>
      <c r="O5" s="577">
        <f t="shared" si="1"/>
        <v>60</v>
      </c>
      <c r="P5" s="577">
        <f t="shared" si="1"/>
        <v>60</v>
      </c>
      <c r="Q5" s="578">
        <f t="shared" si="1"/>
        <v>60</v>
      </c>
      <c r="R5" s="579">
        <f t="shared" si="1"/>
        <v>60</v>
      </c>
      <c r="S5" s="577">
        <f t="shared" si="1"/>
        <v>60</v>
      </c>
      <c r="T5" s="577">
        <f t="shared" si="1"/>
        <v>60</v>
      </c>
      <c r="U5" s="577">
        <f t="shared" si="1"/>
        <v>60</v>
      </c>
      <c r="V5" s="577">
        <f t="shared" si="1"/>
        <v>60</v>
      </c>
      <c r="W5" s="577">
        <f t="shared" si="1"/>
        <v>60</v>
      </c>
      <c r="X5" s="577">
        <f t="shared" si="1"/>
        <v>60</v>
      </c>
      <c r="Y5" s="577">
        <f t="shared" si="1"/>
        <v>60</v>
      </c>
      <c r="Z5" s="577">
        <f t="shared" si="1"/>
        <v>60</v>
      </c>
      <c r="AA5" s="577">
        <f t="shared" si="1"/>
        <v>60</v>
      </c>
      <c r="AB5" s="577">
        <f t="shared" si="1"/>
        <v>60</v>
      </c>
      <c r="AC5" s="578">
        <f t="shared" si="1"/>
        <v>60</v>
      </c>
      <c r="AD5" s="580">
        <f t="shared" si="1"/>
        <v>60</v>
      </c>
      <c r="AE5" s="581">
        <f t="shared" si="1"/>
        <v>60</v>
      </c>
      <c r="AF5" s="581">
        <f t="shared" si="1"/>
        <v>60</v>
      </c>
      <c r="AG5" s="581">
        <f t="shared" si="1"/>
        <v>60</v>
      </c>
      <c r="AH5" s="581">
        <f t="shared" si="1"/>
        <v>60</v>
      </c>
      <c r="AI5" s="581">
        <f t="shared" si="1"/>
        <v>60</v>
      </c>
      <c r="AJ5" s="581">
        <f t="shared" si="1"/>
        <v>60</v>
      </c>
      <c r="AK5" s="581">
        <f t="shared" si="1"/>
        <v>60</v>
      </c>
      <c r="AL5" s="581">
        <f t="shared" si="1"/>
        <v>60</v>
      </c>
      <c r="AM5" s="581">
        <f t="shared" si="1"/>
        <v>60</v>
      </c>
      <c r="AN5" s="581">
        <f t="shared" si="1"/>
        <v>60</v>
      </c>
      <c r="AO5" s="581">
        <f t="shared" si="1"/>
        <v>60</v>
      </c>
    </row>
    <row r="6" spans="1:41" x14ac:dyDescent="0.2">
      <c r="B6" s="49" t="s">
        <v>322</v>
      </c>
      <c r="C6" s="582">
        <f>AVERAGE(F6:Q6)</f>
        <v>0</v>
      </c>
      <c r="D6" s="583">
        <f>AVERAGE(R6:AC6)</f>
        <v>0</v>
      </c>
      <c r="E6" s="584">
        <f>AVERAGE(AD6:AO6)</f>
        <v>0</v>
      </c>
      <c r="F6" s="585">
        <f>IF((EOMONTH(Inputs!$B26,0)+1)&lt;=F$5,(Inputs!$D26*1),0)</f>
        <v>0</v>
      </c>
      <c r="G6" s="585">
        <f>IF((EOMONTH(Inputs!$B26,0)+1)&lt;=G$5,(Inputs!$D26*1),0)</f>
        <v>0</v>
      </c>
      <c r="H6" s="585">
        <f>IF((EOMONTH(Inputs!$B26,0)+1)&lt;=H$5,(Inputs!$D26*1),0)</f>
        <v>0</v>
      </c>
      <c r="I6" s="585">
        <f>IF((EOMONTH(Inputs!$B26,0)+1)&lt;=I$5,(Inputs!$D26*1),0)</f>
        <v>0</v>
      </c>
      <c r="J6" s="585">
        <f>IF((EOMONTH(Inputs!$B26,0)+1)&lt;=J$5,(Inputs!$D26*1),0)</f>
        <v>0</v>
      </c>
      <c r="K6" s="585">
        <f>IF((EOMONTH(Inputs!$B26,0)+1)&lt;=K$5,(Inputs!$D26*1),0)</f>
        <v>0</v>
      </c>
      <c r="L6" s="585">
        <f>IF((EOMONTH(Inputs!$B26,0)+1)&lt;=L$5,(Inputs!$D26*1),0)</f>
        <v>0</v>
      </c>
      <c r="M6" s="585">
        <f>IF((EOMONTH(Inputs!$B26,0)+1)&lt;=M$5,(Inputs!$D26*1),0)</f>
        <v>0</v>
      </c>
      <c r="N6" s="585">
        <f>IF((EOMONTH(Inputs!$B26,0)+1)&lt;=N$5,(Inputs!$D26*1),0)</f>
        <v>0</v>
      </c>
      <c r="O6" s="585">
        <f>IF((EOMONTH(Inputs!$B26,0)+1)&lt;=O$5,(Inputs!$D26*1),0)</f>
        <v>0</v>
      </c>
      <c r="P6" s="585">
        <f>IF((EOMONTH(Inputs!$B26,0)+1)&lt;=P$5,(Inputs!$D26*1),0)</f>
        <v>0</v>
      </c>
      <c r="Q6" s="585">
        <f>IF((EOMONTH(Inputs!$B26,0)+1)&lt;=Q$5,(Inputs!$D26*1),0)</f>
        <v>0</v>
      </c>
      <c r="R6" s="585">
        <f>IF((EOMONTH(Inputs!$B26,0)+1)&lt;=R$5,(Inputs!$D26*1),0)</f>
        <v>0</v>
      </c>
      <c r="S6" s="585">
        <f>IF((EOMONTH(Inputs!$B26,0)+1)&lt;=S$5,(Inputs!$D26*1),0)</f>
        <v>0</v>
      </c>
      <c r="T6" s="585">
        <f>IF((EOMONTH(Inputs!$B26,0)+1)&lt;=T$5,(Inputs!$D26*1),0)</f>
        <v>0</v>
      </c>
      <c r="U6" s="585">
        <f>IF((EOMONTH(Inputs!$B26,0)+1)&lt;=U$5,(Inputs!$D26*1),0)</f>
        <v>0</v>
      </c>
      <c r="V6" s="585">
        <f>IF((EOMONTH(Inputs!$B26,0)+1)&lt;=V$5,(Inputs!$D26*1),0)</f>
        <v>0</v>
      </c>
      <c r="W6" s="585">
        <f>IF((EOMONTH(Inputs!$B26,0)+1)&lt;=W$5,(Inputs!$D26*1),0)</f>
        <v>0</v>
      </c>
      <c r="X6" s="585">
        <f>IF((EOMONTH(Inputs!$B26,0)+1)&lt;=X$5,(Inputs!$D26*1),0)</f>
        <v>0</v>
      </c>
      <c r="Y6" s="585">
        <f>IF((EOMONTH(Inputs!$B26,0)+1)&lt;=Y$5,(Inputs!$D26*1),0)</f>
        <v>0</v>
      </c>
      <c r="Z6" s="585">
        <f>IF((EOMONTH(Inputs!$B26,0)+1)&lt;=Z$5,(Inputs!$D26*1),0)</f>
        <v>0</v>
      </c>
      <c r="AA6" s="585">
        <f>IF((EOMONTH(Inputs!$B26,0)+1)&lt;=AA$5,(Inputs!$D26*1),0)</f>
        <v>0</v>
      </c>
      <c r="AB6" s="585">
        <f>IF((EOMONTH(Inputs!$B26,0)+1)&lt;=AB$5,(Inputs!$D26*1),0)</f>
        <v>0</v>
      </c>
      <c r="AC6" s="585">
        <f>IF((EOMONTH(Inputs!$B26,0)+1)&lt;=AC$5,(Inputs!$D26*1),0)</f>
        <v>0</v>
      </c>
      <c r="AD6" s="585">
        <f>IF((EOMONTH(Inputs!$B26,0)+1)&lt;=AD$5,(Inputs!$D26*1),0)</f>
        <v>0</v>
      </c>
      <c r="AE6" s="585">
        <f>IF((EOMONTH(Inputs!$B26,0)+1)&lt;=AE$5,(Inputs!$D26*1),0)</f>
        <v>0</v>
      </c>
      <c r="AF6" s="585">
        <f>IF((EOMONTH(Inputs!$B26,0)+1)&lt;=AF$5,(Inputs!$D26*1),0)</f>
        <v>0</v>
      </c>
      <c r="AG6" s="585">
        <f>IF((EOMONTH(Inputs!$B26,0)+1)&lt;=AG$5,(Inputs!$D26*1),0)</f>
        <v>0</v>
      </c>
      <c r="AH6" s="585">
        <f>IF((EOMONTH(Inputs!$B26,0)+1)&lt;=AH$5,(Inputs!$D26*1),0)</f>
        <v>0</v>
      </c>
      <c r="AI6" s="585">
        <f>IF((EOMONTH(Inputs!$B26,0)+1)&lt;=AI$5,(Inputs!$D26*1),0)</f>
        <v>0</v>
      </c>
      <c r="AJ6" s="585">
        <f>IF((EOMONTH(Inputs!$B26,0)+1)&lt;=AJ$5,(Inputs!$D26*1),0)</f>
        <v>0</v>
      </c>
      <c r="AK6" s="585">
        <f>IF((EOMONTH(Inputs!$B26,0)+1)&lt;=AK$5,(Inputs!$D26*1),0)</f>
        <v>0</v>
      </c>
      <c r="AL6" s="585">
        <f>IF((EOMONTH(Inputs!$B26,0)+1)&lt;=AL$5,(Inputs!$D26*1),0)</f>
        <v>0</v>
      </c>
      <c r="AM6" s="585">
        <f>IF((EOMONTH(Inputs!$B26,0)+1)&lt;=AM$5,(Inputs!$D26*1),0)</f>
        <v>0</v>
      </c>
      <c r="AN6" s="585">
        <f>IF((EOMONTH(Inputs!$B26,0)+1)&lt;=AN$5,(Inputs!$D26*1),0)</f>
        <v>0</v>
      </c>
      <c r="AO6" s="585">
        <f>IF((EOMONTH(Inputs!$B26,0)+1)&lt;=AO$5,(Inputs!$D26*1),0)</f>
        <v>0</v>
      </c>
    </row>
    <row r="7" spans="1:41" x14ac:dyDescent="0.2">
      <c r="B7" s="49" t="s">
        <v>323</v>
      </c>
      <c r="C7" s="582">
        <f t="shared" ref="C7:C21" si="2">AVERAGE(F7:Q7)</f>
        <v>0</v>
      </c>
      <c r="D7" s="583">
        <f t="shared" ref="D7:D21" si="3">AVERAGE(R7:AC7)</f>
        <v>0</v>
      </c>
      <c r="E7" s="584">
        <f t="shared" ref="E7:E21" si="4">AVERAGE(AD7:AO7)</f>
        <v>0</v>
      </c>
      <c r="F7" s="585">
        <f>IF((EOMONTH(Inputs!$B27,0)+1)&lt;=F$5,(Inputs!$D27*1),0)</f>
        <v>0</v>
      </c>
      <c r="G7" s="585">
        <f>IF((EOMONTH(Inputs!$B27,0)+1)&lt;=G$5,(Inputs!$D27*1),0)</f>
        <v>0</v>
      </c>
      <c r="H7" s="585">
        <f>IF((EOMONTH(Inputs!$B27,0)+1)&lt;=H$5,(Inputs!$D27*1),0)</f>
        <v>0</v>
      </c>
      <c r="I7" s="585">
        <f>IF((EOMONTH(Inputs!$B27,0)+1)&lt;=I$5,(Inputs!$D27*1),0)</f>
        <v>0</v>
      </c>
      <c r="J7" s="585">
        <f>IF((EOMONTH(Inputs!$B27,0)+1)&lt;=J$5,(Inputs!$D27*1),0)</f>
        <v>0</v>
      </c>
      <c r="K7" s="585">
        <f>IF((EOMONTH(Inputs!$B27,0)+1)&lt;=K$5,(Inputs!$D27*1),0)</f>
        <v>0</v>
      </c>
      <c r="L7" s="585">
        <f>IF((EOMONTH(Inputs!$B27,0)+1)&lt;=L$5,(Inputs!$D27*1),0)</f>
        <v>0</v>
      </c>
      <c r="M7" s="585">
        <f>IF((EOMONTH(Inputs!$B27,0)+1)&lt;=M$5,(Inputs!$D27*1),0)</f>
        <v>0</v>
      </c>
      <c r="N7" s="585">
        <f>IF((EOMONTH(Inputs!$B27,0)+1)&lt;=N$5,(Inputs!$D27*1),0)</f>
        <v>0</v>
      </c>
      <c r="O7" s="585">
        <f>IF((EOMONTH(Inputs!$B27,0)+1)&lt;=O$5,(Inputs!$D27*1),0)</f>
        <v>0</v>
      </c>
      <c r="P7" s="585">
        <f>IF((EOMONTH(Inputs!$B27,0)+1)&lt;=P$5,(Inputs!$D27*1),0)</f>
        <v>0</v>
      </c>
      <c r="Q7" s="585">
        <f>IF((EOMONTH(Inputs!$B27,0)+1)&lt;=Q$5,(Inputs!$D27*1),0)</f>
        <v>0</v>
      </c>
      <c r="R7" s="585">
        <f>IF((EOMONTH(Inputs!$B27,0)+1)&lt;=R$5,(Inputs!$D27*1),0)</f>
        <v>0</v>
      </c>
      <c r="S7" s="585">
        <f>IF((EOMONTH(Inputs!$B27,0)+1)&lt;=S$5,(Inputs!$D27*1),0)</f>
        <v>0</v>
      </c>
      <c r="T7" s="585">
        <f>IF((EOMONTH(Inputs!$B27,0)+1)&lt;=T$5,(Inputs!$D27*1),0)</f>
        <v>0</v>
      </c>
      <c r="U7" s="585">
        <f>IF((EOMONTH(Inputs!$B27,0)+1)&lt;=U$5,(Inputs!$D27*1),0)</f>
        <v>0</v>
      </c>
      <c r="V7" s="585">
        <f>IF((EOMONTH(Inputs!$B27,0)+1)&lt;=V$5,(Inputs!$D27*1),0)</f>
        <v>0</v>
      </c>
      <c r="W7" s="585">
        <f>IF((EOMONTH(Inputs!$B27,0)+1)&lt;=W$5,(Inputs!$D27*1),0)</f>
        <v>0</v>
      </c>
      <c r="X7" s="585">
        <f>IF((EOMONTH(Inputs!$B27,0)+1)&lt;=X$5,(Inputs!$D27*1),0)</f>
        <v>0</v>
      </c>
      <c r="Y7" s="585">
        <f>IF((EOMONTH(Inputs!$B27,0)+1)&lt;=Y$5,(Inputs!$D27*1),0)</f>
        <v>0</v>
      </c>
      <c r="Z7" s="585">
        <f>IF((EOMONTH(Inputs!$B27,0)+1)&lt;=Z$5,(Inputs!$D27*1),0)</f>
        <v>0</v>
      </c>
      <c r="AA7" s="585">
        <f>IF((EOMONTH(Inputs!$B27,0)+1)&lt;=AA$5,(Inputs!$D27*1),0)</f>
        <v>0</v>
      </c>
      <c r="AB7" s="585">
        <f>IF((EOMONTH(Inputs!$B27,0)+1)&lt;=AB$5,(Inputs!$D27*1),0)</f>
        <v>0</v>
      </c>
      <c r="AC7" s="585">
        <f>IF((EOMONTH(Inputs!$B27,0)+1)&lt;=AC$5,(Inputs!$D27*1),0)</f>
        <v>0</v>
      </c>
      <c r="AD7" s="585">
        <f>IF((EOMONTH(Inputs!$B27,0)+1)&lt;=AD$5,(Inputs!$D27*1),0)</f>
        <v>0</v>
      </c>
      <c r="AE7" s="585">
        <f>IF((EOMONTH(Inputs!$B27,0)+1)&lt;=AE$5,(Inputs!$D27*1),0)</f>
        <v>0</v>
      </c>
      <c r="AF7" s="585">
        <f>IF((EOMONTH(Inputs!$B27,0)+1)&lt;=AF$5,(Inputs!$D27*1),0)</f>
        <v>0</v>
      </c>
      <c r="AG7" s="585">
        <f>IF((EOMONTH(Inputs!$B27,0)+1)&lt;=AG$5,(Inputs!$D27*1),0)</f>
        <v>0</v>
      </c>
      <c r="AH7" s="585">
        <f>IF((EOMONTH(Inputs!$B27,0)+1)&lt;=AH$5,(Inputs!$D27*1),0)</f>
        <v>0</v>
      </c>
      <c r="AI7" s="585">
        <f>IF((EOMONTH(Inputs!$B27,0)+1)&lt;=AI$5,(Inputs!$D27*1),0)</f>
        <v>0</v>
      </c>
      <c r="AJ7" s="585">
        <f>IF((EOMONTH(Inputs!$B27,0)+1)&lt;=AJ$5,(Inputs!$D27*1),0)</f>
        <v>0</v>
      </c>
      <c r="AK7" s="585">
        <f>IF((EOMONTH(Inputs!$B27,0)+1)&lt;=AK$5,(Inputs!$D27*1),0)</f>
        <v>0</v>
      </c>
      <c r="AL7" s="585">
        <f>IF((EOMONTH(Inputs!$B27,0)+1)&lt;=AL$5,(Inputs!$D27*1),0)</f>
        <v>0</v>
      </c>
      <c r="AM7" s="585">
        <f>IF((EOMONTH(Inputs!$B27,0)+1)&lt;=AM$5,(Inputs!$D27*1),0)</f>
        <v>0</v>
      </c>
      <c r="AN7" s="585">
        <f>IF((EOMONTH(Inputs!$B27,0)+1)&lt;=AN$5,(Inputs!$D27*1),0)</f>
        <v>0</v>
      </c>
      <c r="AO7" s="585">
        <f>IF((EOMONTH(Inputs!$B27,0)+1)&lt;=AO$5,(Inputs!$D27*1),0)</f>
        <v>0</v>
      </c>
    </row>
    <row r="8" spans="1:41" x14ac:dyDescent="0.2">
      <c r="B8" s="49" t="s">
        <v>324</v>
      </c>
      <c r="C8" s="582">
        <f t="shared" si="2"/>
        <v>0</v>
      </c>
      <c r="D8" s="583">
        <f t="shared" si="3"/>
        <v>0</v>
      </c>
      <c r="E8" s="584">
        <f t="shared" si="4"/>
        <v>0</v>
      </c>
      <c r="F8" s="585">
        <f>IF((EOMONTH(Inputs!$B28,0)+1)&lt;=F$5,(Inputs!$D28*1),0)</f>
        <v>0</v>
      </c>
      <c r="G8" s="585">
        <f>IF((EOMONTH(Inputs!$B28,0)+1)&lt;=G$5,(Inputs!$D28*1),0)</f>
        <v>0</v>
      </c>
      <c r="H8" s="585">
        <f>IF((EOMONTH(Inputs!$B28,0)+1)&lt;=H$5,(Inputs!$D28*1),0)</f>
        <v>0</v>
      </c>
      <c r="I8" s="585">
        <f>IF((EOMONTH(Inputs!$B28,0)+1)&lt;=I$5,(Inputs!$D28*1),0)</f>
        <v>0</v>
      </c>
      <c r="J8" s="585">
        <f>IF((EOMONTH(Inputs!$B28,0)+1)&lt;=J$5,(Inputs!$D28*1),0)</f>
        <v>0</v>
      </c>
      <c r="K8" s="585">
        <f>IF((EOMONTH(Inputs!$B28,0)+1)&lt;=K$5,(Inputs!$D28*1),0)</f>
        <v>0</v>
      </c>
      <c r="L8" s="585">
        <f>IF((EOMONTH(Inputs!$B28,0)+1)&lt;=L$5,(Inputs!$D28*1),0)</f>
        <v>0</v>
      </c>
      <c r="M8" s="585">
        <f>IF((EOMONTH(Inputs!$B28,0)+1)&lt;=M$5,(Inputs!$D28*1),0)</f>
        <v>0</v>
      </c>
      <c r="N8" s="585">
        <f>IF((EOMONTH(Inputs!$B28,0)+1)&lt;=N$5,(Inputs!$D28*1),0)</f>
        <v>0</v>
      </c>
      <c r="O8" s="585">
        <f>IF((EOMONTH(Inputs!$B28,0)+1)&lt;=O$5,(Inputs!$D28*1),0)</f>
        <v>0</v>
      </c>
      <c r="P8" s="585">
        <f>IF((EOMONTH(Inputs!$B28,0)+1)&lt;=P$5,(Inputs!$D28*1),0)</f>
        <v>0</v>
      </c>
      <c r="Q8" s="585">
        <f>IF((EOMONTH(Inputs!$B28,0)+1)&lt;=Q$5,(Inputs!$D28*1),0)</f>
        <v>0</v>
      </c>
      <c r="R8" s="585">
        <f>IF((EOMONTH(Inputs!$B28,0)+1)&lt;=R$5,(Inputs!$D28*1),0)</f>
        <v>0</v>
      </c>
      <c r="S8" s="585">
        <f>IF((EOMONTH(Inputs!$B28,0)+1)&lt;=S$5,(Inputs!$D28*1),0)</f>
        <v>0</v>
      </c>
      <c r="T8" s="585">
        <f>IF((EOMONTH(Inputs!$B28,0)+1)&lt;=T$5,(Inputs!$D28*1),0)</f>
        <v>0</v>
      </c>
      <c r="U8" s="585">
        <f>IF((EOMONTH(Inputs!$B28,0)+1)&lt;=U$5,(Inputs!$D28*1),0)</f>
        <v>0</v>
      </c>
      <c r="V8" s="585">
        <f>IF((EOMONTH(Inputs!$B28,0)+1)&lt;=V$5,(Inputs!$D28*1),0)</f>
        <v>0</v>
      </c>
      <c r="W8" s="585">
        <f>IF((EOMONTH(Inputs!$B28,0)+1)&lt;=W$5,(Inputs!$D28*1),0)</f>
        <v>0</v>
      </c>
      <c r="X8" s="585">
        <f>IF((EOMONTH(Inputs!$B28,0)+1)&lt;=X$5,(Inputs!$D28*1),0)</f>
        <v>0</v>
      </c>
      <c r="Y8" s="585">
        <f>IF((EOMONTH(Inputs!$B28,0)+1)&lt;=Y$5,(Inputs!$D28*1),0)</f>
        <v>0</v>
      </c>
      <c r="Z8" s="585">
        <f>IF((EOMONTH(Inputs!$B28,0)+1)&lt;=Z$5,(Inputs!$D28*1),0)</f>
        <v>0</v>
      </c>
      <c r="AA8" s="585">
        <f>IF((EOMONTH(Inputs!$B28,0)+1)&lt;=AA$5,(Inputs!$D28*1),0)</f>
        <v>0</v>
      </c>
      <c r="AB8" s="585">
        <f>IF((EOMONTH(Inputs!$B28,0)+1)&lt;=AB$5,(Inputs!$D28*1),0)</f>
        <v>0</v>
      </c>
      <c r="AC8" s="585">
        <f>IF((EOMONTH(Inputs!$B28,0)+1)&lt;=AC$5,(Inputs!$D28*1),0)</f>
        <v>0</v>
      </c>
      <c r="AD8" s="585">
        <f>IF((EOMONTH(Inputs!$B28,0)+1)&lt;=AD$5,(Inputs!$D28*1),0)</f>
        <v>0</v>
      </c>
      <c r="AE8" s="585">
        <f>IF((EOMONTH(Inputs!$B28,0)+1)&lt;=AE$5,(Inputs!$D28*1),0)</f>
        <v>0</v>
      </c>
      <c r="AF8" s="585">
        <f>IF((EOMONTH(Inputs!$B28,0)+1)&lt;=AF$5,(Inputs!$D28*1),0)</f>
        <v>0</v>
      </c>
      <c r="AG8" s="585">
        <f>IF((EOMONTH(Inputs!$B28,0)+1)&lt;=AG$5,(Inputs!$D28*1),0)</f>
        <v>0</v>
      </c>
      <c r="AH8" s="585">
        <f>IF((EOMONTH(Inputs!$B28,0)+1)&lt;=AH$5,(Inputs!$D28*1),0)</f>
        <v>0</v>
      </c>
      <c r="AI8" s="585">
        <f>IF((EOMONTH(Inputs!$B28,0)+1)&lt;=AI$5,(Inputs!$D28*1),0)</f>
        <v>0</v>
      </c>
      <c r="AJ8" s="585">
        <f>IF((EOMONTH(Inputs!$B28,0)+1)&lt;=AJ$5,(Inputs!$D28*1),0)</f>
        <v>0</v>
      </c>
      <c r="AK8" s="585">
        <f>IF((EOMONTH(Inputs!$B28,0)+1)&lt;=AK$5,(Inputs!$D28*1),0)</f>
        <v>0</v>
      </c>
      <c r="AL8" s="585">
        <f>IF((EOMONTH(Inputs!$B28,0)+1)&lt;=AL$5,(Inputs!$D28*1),0)</f>
        <v>0</v>
      </c>
      <c r="AM8" s="585">
        <f>IF((EOMONTH(Inputs!$B28,0)+1)&lt;=AM$5,(Inputs!$D28*1),0)</f>
        <v>0</v>
      </c>
      <c r="AN8" s="585">
        <f>IF((EOMONTH(Inputs!$B28,0)+1)&lt;=AN$5,(Inputs!$D28*1),0)</f>
        <v>0</v>
      </c>
      <c r="AO8" s="585">
        <f>IF((EOMONTH(Inputs!$B28,0)+1)&lt;=AO$5,(Inputs!$D28*1),0)</f>
        <v>0</v>
      </c>
    </row>
    <row r="9" spans="1:41" x14ac:dyDescent="0.2">
      <c r="B9" s="49" t="s">
        <v>325</v>
      </c>
      <c r="C9" s="582">
        <f t="shared" si="2"/>
        <v>0</v>
      </c>
      <c r="D9" s="583">
        <f t="shared" si="3"/>
        <v>0</v>
      </c>
      <c r="E9" s="584">
        <f t="shared" si="4"/>
        <v>0</v>
      </c>
      <c r="F9" s="585">
        <f>IF((EOMONTH(Inputs!$B29,0)+1)&lt;=F$5,(Inputs!$D29*1),0)</f>
        <v>0</v>
      </c>
      <c r="G9" s="585">
        <f>IF((EOMONTH(Inputs!$B29,0)+1)&lt;=G$5,(Inputs!$D29*1),0)</f>
        <v>0</v>
      </c>
      <c r="H9" s="585">
        <f>IF((EOMONTH(Inputs!$B29,0)+1)&lt;=H$5,(Inputs!$D29*1),0)</f>
        <v>0</v>
      </c>
      <c r="I9" s="585">
        <f>IF((EOMONTH(Inputs!$B29,0)+1)&lt;=I$5,(Inputs!$D29*1),0)</f>
        <v>0</v>
      </c>
      <c r="J9" s="585">
        <f>IF((EOMONTH(Inputs!$B29,0)+1)&lt;=J$5,(Inputs!$D29*1),0)</f>
        <v>0</v>
      </c>
      <c r="K9" s="585">
        <f>IF((EOMONTH(Inputs!$B29,0)+1)&lt;=K$5,(Inputs!$D29*1),0)</f>
        <v>0</v>
      </c>
      <c r="L9" s="585">
        <f>IF((EOMONTH(Inputs!$B29,0)+1)&lt;=L$5,(Inputs!$D29*1),0)</f>
        <v>0</v>
      </c>
      <c r="M9" s="585">
        <f>IF((EOMONTH(Inputs!$B29,0)+1)&lt;=M$5,(Inputs!$D29*1),0)</f>
        <v>0</v>
      </c>
      <c r="N9" s="585">
        <f>IF((EOMONTH(Inputs!$B29,0)+1)&lt;=N$5,(Inputs!$D29*1),0)</f>
        <v>0</v>
      </c>
      <c r="O9" s="585">
        <f>IF((EOMONTH(Inputs!$B29,0)+1)&lt;=O$5,(Inputs!$D29*1),0)</f>
        <v>0</v>
      </c>
      <c r="P9" s="585">
        <f>IF((EOMONTH(Inputs!$B29,0)+1)&lt;=P$5,(Inputs!$D29*1),0)</f>
        <v>0</v>
      </c>
      <c r="Q9" s="585">
        <f>IF((EOMONTH(Inputs!$B29,0)+1)&lt;=Q$5,(Inputs!$D29*1),0)</f>
        <v>0</v>
      </c>
      <c r="R9" s="585">
        <f>IF((EOMONTH(Inputs!$B29,0)+1)&lt;=R$5,(Inputs!$D29*1),0)</f>
        <v>0</v>
      </c>
      <c r="S9" s="585">
        <f>IF((EOMONTH(Inputs!$B29,0)+1)&lt;=S$5,(Inputs!$D29*1),0)</f>
        <v>0</v>
      </c>
      <c r="T9" s="585">
        <f>IF((EOMONTH(Inputs!$B29,0)+1)&lt;=T$5,(Inputs!$D29*1),0)</f>
        <v>0</v>
      </c>
      <c r="U9" s="585">
        <f>IF((EOMONTH(Inputs!$B29,0)+1)&lt;=U$5,(Inputs!$D29*1),0)</f>
        <v>0</v>
      </c>
      <c r="V9" s="585">
        <f>IF((EOMONTH(Inputs!$B29,0)+1)&lt;=V$5,(Inputs!$D29*1),0)</f>
        <v>0</v>
      </c>
      <c r="W9" s="585">
        <f>IF((EOMONTH(Inputs!$B29,0)+1)&lt;=W$5,(Inputs!$D29*1),0)</f>
        <v>0</v>
      </c>
      <c r="X9" s="585">
        <f>IF((EOMONTH(Inputs!$B29,0)+1)&lt;=X$5,(Inputs!$D29*1),0)</f>
        <v>0</v>
      </c>
      <c r="Y9" s="585">
        <f>IF((EOMONTH(Inputs!$B29,0)+1)&lt;=Y$5,(Inputs!$D29*1),0)</f>
        <v>0</v>
      </c>
      <c r="Z9" s="585">
        <f>IF((EOMONTH(Inputs!$B29,0)+1)&lt;=Z$5,(Inputs!$D29*1),0)</f>
        <v>0</v>
      </c>
      <c r="AA9" s="585">
        <f>IF((EOMONTH(Inputs!$B29,0)+1)&lt;=AA$5,(Inputs!$D29*1),0)</f>
        <v>0</v>
      </c>
      <c r="AB9" s="585">
        <f>IF((EOMONTH(Inputs!$B29,0)+1)&lt;=AB$5,(Inputs!$D29*1),0)</f>
        <v>0</v>
      </c>
      <c r="AC9" s="585">
        <f>IF((EOMONTH(Inputs!$B29,0)+1)&lt;=AC$5,(Inputs!$D29*1),0)</f>
        <v>0</v>
      </c>
      <c r="AD9" s="585">
        <f>IF((EOMONTH(Inputs!$B29,0)+1)&lt;=AD$5,(Inputs!$D29*1),0)</f>
        <v>0</v>
      </c>
      <c r="AE9" s="585">
        <f>IF((EOMONTH(Inputs!$B29,0)+1)&lt;=AE$5,(Inputs!$D29*1),0)</f>
        <v>0</v>
      </c>
      <c r="AF9" s="585">
        <f>IF((EOMONTH(Inputs!$B29,0)+1)&lt;=AF$5,(Inputs!$D29*1),0)</f>
        <v>0</v>
      </c>
      <c r="AG9" s="585">
        <f>IF((EOMONTH(Inputs!$B29,0)+1)&lt;=AG$5,(Inputs!$D29*1),0)</f>
        <v>0</v>
      </c>
      <c r="AH9" s="585">
        <f>IF((EOMONTH(Inputs!$B29,0)+1)&lt;=AH$5,(Inputs!$D29*1),0)</f>
        <v>0</v>
      </c>
      <c r="AI9" s="585">
        <f>IF((EOMONTH(Inputs!$B29,0)+1)&lt;=AI$5,(Inputs!$D29*1),0)</f>
        <v>0</v>
      </c>
      <c r="AJ9" s="585">
        <f>IF((EOMONTH(Inputs!$B29,0)+1)&lt;=AJ$5,(Inputs!$D29*1),0)</f>
        <v>0</v>
      </c>
      <c r="AK9" s="585">
        <f>IF((EOMONTH(Inputs!$B29,0)+1)&lt;=AK$5,(Inputs!$D29*1),0)</f>
        <v>0</v>
      </c>
      <c r="AL9" s="585">
        <f>IF((EOMONTH(Inputs!$B29,0)+1)&lt;=AL$5,(Inputs!$D29*1),0)</f>
        <v>0</v>
      </c>
      <c r="AM9" s="585">
        <f>IF((EOMONTH(Inputs!$B29,0)+1)&lt;=AM$5,(Inputs!$D29*1),0)</f>
        <v>0</v>
      </c>
      <c r="AN9" s="585">
        <f>IF((EOMONTH(Inputs!$B29,0)+1)&lt;=AN$5,(Inputs!$D29*1),0)</f>
        <v>0</v>
      </c>
      <c r="AO9" s="585">
        <f>IF((EOMONTH(Inputs!$B29,0)+1)&lt;=AO$5,(Inputs!$D29*1),0)</f>
        <v>0</v>
      </c>
    </row>
    <row r="10" spans="1:41" x14ac:dyDescent="0.2">
      <c r="B10" s="49" t="s">
        <v>326</v>
      </c>
      <c r="C10" s="582">
        <f t="shared" si="2"/>
        <v>0</v>
      </c>
      <c r="D10" s="583">
        <f t="shared" si="3"/>
        <v>0</v>
      </c>
      <c r="E10" s="584">
        <f t="shared" si="4"/>
        <v>0</v>
      </c>
      <c r="F10" s="585">
        <f>IF((EOMONTH(Inputs!$B30,0)+1)&lt;=F$5,(Inputs!$D30*1),0)</f>
        <v>0</v>
      </c>
      <c r="G10" s="585">
        <f>IF((EOMONTH(Inputs!$B30,0)+1)&lt;=G$5,(Inputs!$D30*1),0)</f>
        <v>0</v>
      </c>
      <c r="H10" s="585">
        <f>IF((EOMONTH(Inputs!$B30,0)+1)&lt;=H$5,(Inputs!$D30*1),0)</f>
        <v>0</v>
      </c>
      <c r="I10" s="585">
        <f>IF((EOMONTH(Inputs!$B30,0)+1)&lt;=I$5,(Inputs!$D30*1),0)</f>
        <v>0</v>
      </c>
      <c r="J10" s="585">
        <f>IF((EOMONTH(Inputs!$B30,0)+1)&lt;=J$5,(Inputs!$D30*1),0)</f>
        <v>0</v>
      </c>
      <c r="K10" s="585">
        <f>IF((EOMONTH(Inputs!$B30,0)+1)&lt;=K$5,(Inputs!$D30*1),0)</f>
        <v>0</v>
      </c>
      <c r="L10" s="585">
        <f>IF((EOMONTH(Inputs!$B30,0)+1)&lt;=L$5,(Inputs!$D30*1),0)</f>
        <v>0</v>
      </c>
      <c r="M10" s="585">
        <f>IF((EOMONTH(Inputs!$B30,0)+1)&lt;=M$5,(Inputs!$D30*1),0)</f>
        <v>0</v>
      </c>
      <c r="N10" s="585">
        <f>IF((EOMONTH(Inputs!$B30,0)+1)&lt;=N$5,(Inputs!$D30*1),0)</f>
        <v>0</v>
      </c>
      <c r="O10" s="585">
        <f>IF((EOMONTH(Inputs!$B30,0)+1)&lt;=O$5,(Inputs!$D30*1),0)</f>
        <v>0</v>
      </c>
      <c r="P10" s="585">
        <f>IF((EOMONTH(Inputs!$B30,0)+1)&lt;=P$5,(Inputs!$D30*1),0)</f>
        <v>0</v>
      </c>
      <c r="Q10" s="585">
        <f>IF((EOMONTH(Inputs!$B30,0)+1)&lt;=Q$5,(Inputs!$D30*1),0)</f>
        <v>0</v>
      </c>
      <c r="R10" s="585">
        <f>IF((EOMONTH(Inputs!$B30,0)+1)&lt;=R$5,(Inputs!$D30*1),0)</f>
        <v>0</v>
      </c>
      <c r="S10" s="585">
        <f>IF((EOMONTH(Inputs!$B30,0)+1)&lt;=S$5,(Inputs!$D30*1),0)</f>
        <v>0</v>
      </c>
      <c r="T10" s="585">
        <f>IF((EOMONTH(Inputs!$B30,0)+1)&lt;=T$5,(Inputs!$D30*1),0)</f>
        <v>0</v>
      </c>
      <c r="U10" s="585">
        <f>IF((EOMONTH(Inputs!$B30,0)+1)&lt;=U$5,(Inputs!$D30*1),0)</f>
        <v>0</v>
      </c>
      <c r="V10" s="585">
        <f>IF((EOMONTH(Inputs!$B30,0)+1)&lt;=V$5,(Inputs!$D30*1),0)</f>
        <v>0</v>
      </c>
      <c r="W10" s="585">
        <f>IF((EOMONTH(Inputs!$B30,0)+1)&lt;=W$5,(Inputs!$D30*1),0)</f>
        <v>0</v>
      </c>
      <c r="X10" s="585">
        <f>IF((EOMONTH(Inputs!$B30,0)+1)&lt;=X$5,(Inputs!$D30*1),0)</f>
        <v>0</v>
      </c>
      <c r="Y10" s="585">
        <f>IF((EOMONTH(Inputs!$B30,0)+1)&lt;=Y$5,(Inputs!$D30*1),0)</f>
        <v>0</v>
      </c>
      <c r="Z10" s="585">
        <f>IF((EOMONTH(Inputs!$B30,0)+1)&lt;=Z$5,(Inputs!$D30*1),0)</f>
        <v>0</v>
      </c>
      <c r="AA10" s="585">
        <f>IF((EOMONTH(Inputs!$B30,0)+1)&lt;=AA$5,(Inputs!$D30*1),0)</f>
        <v>0</v>
      </c>
      <c r="AB10" s="585">
        <f>IF((EOMONTH(Inputs!$B30,0)+1)&lt;=AB$5,(Inputs!$D30*1),0)</f>
        <v>0</v>
      </c>
      <c r="AC10" s="585">
        <f>IF((EOMONTH(Inputs!$B30,0)+1)&lt;=AC$5,(Inputs!$D30*1),0)</f>
        <v>0</v>
      </c>
      <c r="AD10" s="585">
        <f>IF((EOMONTH(Inputs!$B30,0)+1)&lt;=AD$5,(Inputs!$D30*1),0)</f>
        <v>0</v>
      </c>
      <c r="AE10" s="585">
        <f>IF((EOMONTH(Inputs!$B30,0)+1)&lt;=AE$5,(Inputs!$D30*1),0)</f>
        <v>0</v>
      </c>
      <c r="AF10" s="585">
        <f>IF((EOMONTH(Inputs!$B30,0)+1)&lt;=AF$5,(Inputs!$D30*1),0)</f>
        <v>0</v>
      </c>
      <c r="AG10" s="585">
        <f>IF((EOMONTH(Inputs!$B30,0)+1)&lt;=AG$5,(Inputs!$D30*1),0)</f>
        <v>0</v>
      </c>
      <c r="AH10" s="585">
        <f>IF((EOMONTH(Inputs!$B30,0)+1)&lt;=AH$5,(Inputs!$D30*1),0)</f>
        <v>0</v>
      </c>
      <c r="AI10" s="585">
        <f>IF((EOMONTH(Inputs!$B30,0)+1)&lt;=AI$5,(Inputs!$D30*1),0)</f>
        <v>0</v>
      </c>
      <c r="AJ10" s="585">
        <f>IF((EOMONTH(Inputs!$B30,0)+1)&lt;=AJ$5,(Inputs!$D30*1),0)</f>
        <v>0</v>
      </c>
      <c r="AK10" s="585">
        <f>IF((EOMONTH(Inputs!$B30,0)+1)&lt;=AK$5,(Inputs!$D30*1),0)</f>
        <v>0</v>
      </c>
      <c r="AL10" s="585">
        <f>IF((EOMONTH(Inputs!$B30,0)+1)&lt;=AL$5,(Inputs!$D30*1),0)</f>
        <v>0</v>
      </c>
      <c r="AM10" s="585">
        <f>IF((EOMONTH(Inputs!$B30,0)+1)&lt;=AM$5,(Inputs!$D30*1),0)</f>
        <v>0</v>
      </c>
      <c r="AN10" s="585">
        <f>IF((EOMONTH(Inputs!$B30,0)+1)&lt;=AN$5,(Inputs!$D30*1),0)</f>
        <v>0</v>
      </c>
      <c r="AO10" s="585">
        <f>IF((EOMONTH(Inputs!$B30,0)+1)&lt;=AO$5,(Inputs!$D30*1),0)</f>
        <v>0</v>
      </c>
    </row>
    <row r="11" spans="1:41" x14ac:dyDescent="0.2">
      <c r="B11" s="49" t="s">
        <v>327</v>
      </c>
      <c r="C11" s="582">
        <f t="shared" si="2"/>
        <v>0</v>
      </c>
      <c r="D11" s="583">
        <f t="shared" si="3"/>
        <v>0</v>
      </c>
      <c r="E11" s="584">
        <f t="shared" si="4"/>
        <v>0</v>
      </c>
      <c r="F11" s="585">
        <f>IF((EOMONTH(Inputs!$B31,0)+1)&lt;=F$5,(Inputs!$D31*1),0)</f>
        <v>0</v>
      </c>
      <c r="G11" s="585">
        <f>IF((EOMONTH(Inputs!$B31,0)+1)&lt;=G$5,(Inputs!$D31*1),0)</f>
        <v>0</v>
      </c>
      <c r="H11" s="585">
        <f>IF((EOMONTH(Inputs!$B31,0)+1)&lt;=H$5,(Inputs!$D31*1),0)</f>
        <v>0</v>
      </c>
      <c r="I11" s="585">
        <f>IF((EOMONTH(Inputs!$B31,0)+1)&lt;=I$5,(Inputs!$D31*1),0)</f>
        <v>0</v>
      </c>
      <c r="J11" s="585">
        <f>IF((EOMONTH(Inputs!$B31,0)+1)&lt;=J$5,(Inputs!$D31*1),0)</f>
        <v>0</v>
      </c>
      <c r="K11" s="585">
        <f>IF((EOMONTH(Inputs!$B31,0)+1)&lt;=K$5,(Inputs!$D31*1),0)</f>
        <v>0</v>
      </c>
      <c r="L11" s="585">
        <f>IF((EOMONTH(Inputs!$B31,0)+1)&lt;=L$5,(Inputs!$D31*1),0)</f>
        <v>0</v>
      </c>
      <c r="M11" s="585">
        <f>IF((EOMONTH(Inputs!$B31,0)+1)&lt;=M$5,(Inputs!$D31*1),0)</f>
        <v>0</v>
      </c>
      <c r="N11" s="585">
        <f>IF((EOMONTH(Inputs!$B31,0)+1)&lt;=N$5,(Inputs!$D31*1),0)</f>
        <v>0</v>
      </c>
      <c r="O11" s="585">
        <f>IF((EOMONTH(Inputs!$B31,0)+1)&lt;=O$5,(Inputs!$D31*1),0)</f>
        <v>0</v>
      </c>
      <c r="P11" s="585">
        <f>IF((EOMONTH(Inputs!$B31,0)+1)&lt;=P$5,(Inputs!$D31*1),0)</f>
        <v>0</v>
      </c>
      <c r="Q11" s="585">
        <f>IF((EOMONTH(Inputs!$B31,0)+1)&lt;=Q$5,(Inputs!$D31*1),0)</f>
        <v>0</v>
      </c>
      <c r="R11" s="585">
        <f>IF((EOMONTH(Inputs!$B31,0)+1)&lt;=R$5,(Inputs!$D31*1),0)</f>
        <v>0</v>
      </c>
      <c r="S11" s="585">
        <f>IF((EOMONTH(Inputs!$B31,0)+1)&lt;=S$5,(Inputs!$D31*1),0)</f>
        <v>0</v>
      </c>
      <c r="T11" s="585">
        <f>IF((EOMONTH(Inputs!$B31,0)+1)&lt;=T$5,(Inputs!$D31*1),0)</f>
        <v>0</v>
      </c>
      <c r="U11" s="585">
        <f>IF((EOMONTH(Inputs!$B31,0)+1)&lt;=U$5,(Inputs!$D31*1),0)</f>
        <v>0</v>
      </c>
      <c r="V11" s="585">
        <f>IF((EOMONTH(Inputs!$B31,0)+1)&lt;=V$5,(Inputs!$D31*1),0)</f>
        <v>0</v>
      </c>
      <c r="W11" s="585">
        <f>IF((EOMONTH(Inputs!$B31,0)+1)&lt;=W$5,(Inputs!$D31*1),0)</f>
        <v>0</v>
      </c>
      <c r="X11" s="585">
        <f>IF((EOMONTH(Inputs!$B31,0)+1)&lt;=X$5,(Inputs!$D31*1),0)</f>
        <v>0</v>
      </c>
      <c r="Y11" s="585">
        <f>IF((EOMONTH(Inputs!$B31,0)+1)&lt;=Y$5,(Inputs!$D31*1),0)</f>
        <v>0</v>
      </c>
      <c r="Z11" s="585">
        <f>IF((EOMONTH(Inputs!$B31,0)+1)&lt;=Z$5,(Inputs!$D31*1),0)</f>
        <v>0</v>
      </c>
      <c r="AA11" s="585">
        <f>IF((EOMONTH(Inputs!$B31,0)+1)&lt;=AA$5,(Inputs!$D31*1),0)</f>
        <v>0</v>
      </c>
      <c r="AB11" s="585">
        <f>IF((EOMONTH(Inputs!$B31,0)+1)&lt;=AB$5,(Inputs!$D31*1),0)</f>
        <v>0</v>
      </c>
      <c r="AC11" s="585">
        <f>IF((EOMONTH(Inputs!$B31,0)+1)&lt;=AC$5,(Inputs!$D31*1),0)</f>
        <v>0</v>
      </c>
      <c r="AD11" s="585">
        <f>IF((EOMONTH(Inputs!$B31,0)+1)&lt;=AD$5,(Inputs!$D31*1),0)</f>
        <v>0</v>
      </c>
      <c r="AE11" s="585">
        <f>IF((EOMONTH(Inputs!$B31,0)+1)&lt;=AE$5,(Inputs!$D31*1),0)</f>
        <v>0</v>
      </c>
      <c r="AF11" s="585">
        <f>IF((EOMONTH(Inputs!$B31,0)+1)&lt;=AF$5,(Inputs!$D31*1),0)</f>
        <v>0</v>
      </c>
      <c r="AG11" s="585">
        <f>IF((EOMONTH(Inputs!$B31,0)+1)&lt;=AG$5,(Inputs!$D31*1),0)</f>
        <v>0</v>
      </c>
      <c r="AH11" s="585">
        <f>IF((EOMONTH(Inputs!$B31,0)+1)&lt;=AH$5,(Inputs!$D31*1),0)</f>
        <v>0</v>
      </c>
      <c r="AI11" s="585">
        <f>IF((EOMONTH(Inputs!$B31,0)+1)&lt;=AI$5,(Inputs!$D31*1),0)</f>
        <v>0</v>
      </c>
      <c r="AJ11" s="585">
        <f>IF((EOMONTH(Inputs!$B31,0)+1)&lt;=AJ$5,(Inputs!$D31*1),0)</f>
        <v>0</v>
      </c>
      <c r="AK11" s="585">
        <f>IF((EOMONTH(Inputs!$B31,0)+1)&lt;=AK$5,(Inputs!$D31*1),0)</f>
        <v>0</v>
      </c>
      <c r="AL11" s="585">
        <f>IF((EOMONTH(Inputs!$B31,0)+1)&lt;=AL$5,(Inputs!$D31*1),0)</f>
        <v>0</v>
      </c>
      <c r="AM11" s="585">
        <f>IF((EOMONTH(Inputs!$B31,0)+1)&lt;=AM$5,(Inputs!$D31*1),0)</f>
        <v>0</v>
      </c>
      <c r="AN11" s="585">
        <f>IF((EOMONTH(Inputs!$B31,0)+1)&lt;=AN$5,(Inputs!$D31*1),0)</f>
        <v>0</v>
      </c>
      <c r="AO11" s="585">
        <f>IF((EOMONTH(Inputs!$B31,0)+1)&lt;=AO$5,(Inputs!$D31*1),0)</f>
        <v>0</v>
      </c>
    </row>
    <row r="12" spans="1:41" x14ac:dyDescent="0.2">
      <c r="B12" s="49" t="s">
        <v>328</v>
      </c>
      <c r="C12" s="582">
        <f t="shared" si="2"/>
        <v>0</v>
      </c>
      <c r="D12" s="583">
        <f t="shared" si="3"/>
        <v>0</v>
      </c>
      <c r="E12" s="584">
        <f t="shared" si="4"/>
        <v>0</v>
      </c>
      <c r="F12" s="585">
        <f>IF((EOMONTH(Inputs!$B32,0)+1)&lt;=F$5,(Inputs!$D32*1),0)</f>
        <v>0</v>
      </c>
      <c r="G12" s="585">
        <f>IF((EOMONTH(Inputs!$B32,0)+1)&lt;=G$5,(Inputs!$D32*1),0)</f>
        <v>0</v>
      </c>
      <c r="H12" s="585">
        <f>IF((EOMONTH(Inputs!$B32,0)+1)&lt;=H$5,(Inputs!$D32*1),0)</f>
        <v>0</v>
      </c>
      <c r="I12" s="585">
        <f>IF((EOMONTH(Inputs!$B32,0)+1)&lt;=I$5,(Inputs!$D32*1),0)</f>
        <v>0</v>
      </c>
      <c r="J12" s="585">
        <f>IF((EOMONTH(Inputs!$B32,0)+1)&lt;=J$5,(Inputs!$D32*1),0)</f>
        <v>0</v>
      </c>
      <c r="K12" s="585">
        <f>IF((EOMONTH(Inputs!$B32,0)+1)&lt;=K$5,(Inputs!$D32*1),0)</f>
        <v>0</v>
      </c>
      <c r="L12" s="585">
        <f>IF((EOMONTH(Inputs!$B32,0)+1)&lt;=L$5,(Inputs!$D32*1),0)</f>
        <v>0</v>
      </c>
      <c r="M12" s="585">
        <f>IF((EOMONTH(Inputs!$B32,0)+1)&lt;=M$5,(Inputs!$D32*1),0)</f>
        <v>0</v>
      </c>
      <c r="N12" s="585">
        <f>IF((EOMONTH(Inputs!$B32,0)+1)&lt;=N$5,(Inputs!$D32*1),0)</f>
        <v>0</v>
      </c>
      <c r="O12" s="585">
        <f>IF((EOMONTH(Inputs!$B32,0)+1)&lt;=O$5,(Inputs!$D32*1),0)</f>
        <v>0</v>
      </c>
      <c r="P12" s="585">
        <f>IF((EOMONTH(Inputs!$B32,0)+1)&lt;=P$5,(Inputs!$D32*1),0)</f>
        <v>0</v>
      </c>
      <c r="Q12" s="585">
        <f>IF((EOMONTH(Inputs!$B32,0)+1)&lt;=Q$5,(Inputs!$D32*1),0)</f>
        <v>0</v>
      </c>
      <c r="R12" s="585">
        <f>IF((EOMONTH(Inputs!$B32,0)+1)&lt;=R$5,(Inputs!$D32*1),0)</f>
        <v>0</v>
      </c>
      <c r="S12" s="585">
        <f>IF((EOMONTH(Inputs!$B32,0)+1)&lt;=S$5,(Inputs!$D32*1),0)</f>
        <v>0</v>
      </c>
      <c r="T12" s="585">
        <f>IF((EOMONTH(Inputs!$B32,0)+1)&lt;=T$5,(Inputs!$D32*1),0)</f>
        <v>0</v>
      </c>
      <c r="U12" s="585">
        <f>IF((EOMONTH(Inputs!$B32,0)+1)&lt;=U$5,(Inputs!$D32*1),0)</f>
        <v>0</v>
      </c>
      <c r="V12" s="585">
        <f>IF((EOMONTH(Inputs!$B32,0)+1)&lt;=V$5,(Inputs!$D32*1),0)</f>
        <v>0</v>
      </c>
      <c r="W12" s="585">
        <f>IF((EOMONTH(Inputs!$B32,0)+1)&lt;=W$5,(Inputs!$D32*1),0)</f>
        <v>0</v>
      </c>
      <c r="X12" s="585">
        <f>IF((EOMONTH(Inputs!$B32,0)+1)&lt;=X$5,(Inputs!$D32*1),0)</f>
        <v>0</v>
      </c>
      <c r="Y12" s="585">
        <f>IF((EOMONTH(Inputs!$B32,0)+1)&lt;=Y$5,(Inputs!$D32*1),0)</f>
        <v>0</v>
      </c>
      <c r="Z12" s="585">
        <f>IF((EOMONTH(Inputs!$B32,0)+1)&lt;=Z$5,(Inputs!$D32*1),0)</f>
        <v>0</v>
      </c>
      <c r="AA12" s="585">
        <f>IF((EOMONTH(Inputs!$B32,0)+1)&lt;=AA$5,(Inputs!$D32*1),0)</f>
        <v>0</v>
      </c>
      <c r="AB12" s="585">
        <f>IF((EOMONTH(Inputs!$B32,0)+1)&lt;=AB$5,(Inputs!$D32*1),0)</f>
        <v>0</v>
      </c>
      <c r="AC12" s="585">
        <f>IF((EOMONTH(Inputs!$B32,0)+1)&lt;=AC$5,(Inputs!$D32*1),0)</f>
        <v>0</v>
      </c>
      <c r="AD12" s="585">
        <f>IF((EOMONTH(Inputs!$B32,0)+1)&lt;=AD$5,(Inputs!$D32*1),0)</f>
        <v>0</v>
      </c>
      <c r="AE12" s="585">
        <f>IF((EOMONTH(Inputs!$B32,0)+1)&lt;=AE$5,(Inputs!$D32*1),0)</f>
        <v>0</v>
      </c>
      <c r="AF12" s="585">
        <f>IF((EOMONTH(Inputs!$B32,0)+1)&lt;=AF$5,(Inputs!$D32*1),0)</f>
        <v>0</v>
      </c>
      <c r="AG12" s="585">
        <f>IF((EOMONTH(Inputs!$B32,0)+1)&lt;=AG$5,(Inputs!$D32*1),0)</f>
        <v>0</v>
      </c>
      <c r="AH12" s="585">
        <f>IF((EOMONTH(Inputs!$B32,0)+1)&lt;=AH$5,(Inputs!$D32*1),0)</f>
        <v>0</v>
      </c>
      <c r="AI12" s="585">
        <f>IF((EOMONTH(Inputs!$B32,0)+1)&lt;=AI$5,(Inputs!$D32*1),0)</f>
        <v>0</v>
      </c>
      <c r="AJ12" s="585">
        <f>IF((EOMONTH(Inputs!$B32,0)+1)&lt;=AJ$5,(Inputs!$D32*1),0)</f>
        <v>0</v>
      </c>
      <c r="AK12" s="585">
        <f>IF((EOMONTH(Inputs!$B32,0)+1)&lt;=AK$5,(Inputs!$D32*1),0)</f>
        <v>0</v>
      </c>
      <c r="AL12" s="585">
        <f>IF((EOMONTH(Inputs!$B32,0)+1)&lt;=AL$5,(Inputs!$D32*1),0)</f>
        <v>0</v>
      </c>
      <c r="AM12" s="585">
        <f>IF((EOMONTH(Inputs!$B32,0)+1)&lt;=AM$5,(Inputs!$D32*1),0)</f>
        <v>0</v>
      </c>
      <c r="AN12" s="585">
        <f>IF((EOMONTH(Inputs!$B32,0)+1)&lt;=AN$5,(Inputs!$D32*1),0)</f>
        <v>0</v>
      </c>
      <c r="AO12" s="585">
        <f>IF((EOMONTH(Inputs!$B32,0)+1)&lt;=AO$5,(Inputs!$D32*1),0)</f>
        <v>0</v>
      </c>
    </row>
    <row r="13" spans="1:41" x14ac:dyDescent="0.2">
      <c r="B13" s="49" t="s">
        <v>329</v>
      </c>
      <c r="C13" s="582">
        <f t="shared" si="2"/>
        <v>0</v>
      </c>
      <c r="D13" s="583">
        <f t="shared" si="3"/>
        <v>0</v>
      </c>
      <c r="E13" s="584">
        <f t="shared" si="4"/>
        <v>0</v>
      </c>
      <c r="F13" s="585">
        <f>IF((EOMONTH(Inputs!$B33,0)+1)&lt;=F$5,(Inputs!$D33*1),0)</f>
        <v>0</v>
      </c>
      <c r="G13" s="585">
        <f>IF((EOMONTH(Inputs!$B33,0)+1)&lt;=G$5,(Inputs!$D33*1),0)</f>
        <v>0</v>
      </c>
      <c r="H13" s="585">
        <f>IF((EOMONTH(Inputs!$B33,0)+1)&lt;=H$5,(Inputs!$D33*1),0)</f>
        <v>0</v>
      </c>
      <c r="I13" s="585">
        <f>IF((EOMONTH(Inputs!$B33,0)+1)&lt;=I$5,(Inputs!$D33*1),0)</f>
        <v>0</v>
      </c>
      <c r="J13" s="585">
        <f>IF((EOMONTH(Inputs!$B33,0)+1)&lt;=J$5,(Inputs!$D33*1),0)</f>
        <v>0</v>
      </c>
      <c r="K13" s="585">
        <f>IF((EOMONTH(Inputs!$B33,0)+1)&lt;=K$5,(Inputs!$D33*1),0)</f>
        <v>0</v>
      </c>
      <c r="L13" s="585">
        <f>IF((EOMONTH(Inputs!$B33,0)+1)&lt;=L$5,(Inputs!$D33*1),0)</f>
        <v>0</v>
      </c>
      <c r="M13" s="585">
        <f>IF((EOMONTH(Inputs!$B33,0)+1)&lt;=M$5,(Inputs!$D33*1),0)</f>
        <v>0</v>
      </c>
      <c r="N13" s="585">
        <f>IF((EOMONTH(Inputs!$B33,0)+1)&lt;=N$5,(Inputs!$D33*1),0)</f>
        <v>0</v>
      </c>
      <c r="O13" s="585">
        <f>IF((EOMONTH(Inputs!$B33,0)+1)&lt;=O$5,(Inputs!$D33*1),0)</f>
        <v>0</v>
      </c>
      <c r="P13" s="585">
        <f>IF((EOMONTH(Inputs!$B33,0)+1)&lt;=P$5,(Inputs!$D33*1),0)</f>
        <v>0</v>
      </c>
      <c r="Q13" s="585">
        <f>IF((EOMONTH(Inputs!$B33,0)+1)&lt;=Q$5,(Inputs!$D33*1),0)</f>
        <v>0</v>
      </c>
      <c r="R13" s="585">
        <f>IF((EOMONTH(Inputs!$B33,0)+1)&lt;=R$5,(Inputs!$D33*1),0)</f>
        <v>0</v>
      </c>
      <c r="S13" s="585">
        <f>IF((EOMONTH(Inputs!$B33,0)+1)&lt;=S$5,(Inputs!$D33*1),0)</f>
        <v>0</v>
      </c>
      <c r="T13" s="585">
        <f>IF((EOMONTH(Inputs!$B33,0)+1)&lt;=T$5,(Inputs!$D33*1),0)</f>
        <v>0</v>
      </c>
      <c r="U13" s="585">
        <f>IF((EOMONTH(Inputs!$B33,0)+1)&lt;=U$5,(Inputs!$D33*1),0)</f>
        <v>0</v>
      </c>
      <c r="V13" s="585">
        <f>IF((EOMONTH(Inputs!$B33,0)+1)&lt;=V$5,(Inputs!$D33*1),0)</f>
        <v>0</v>
      </c>
      <c r="W13" s="585">
        <f>IF((EOMONTH(Inputs!$B33,0)+1)&lt;=W$5,(Inputs!$D33*1),0)</f>
        <v>0</v>
      </c>
      <c r="X13" s="585">
        <f>IF((EOMONTH(Inputs!$B33,0)+1)&lt;=X$5,(Inputs!$D33*1),0)</f>
        <v>0</v>
      </c>
      <c r="Y13" s="585">
        <f>IF((EOMONTH(Inputs!$B33,0)+1)&lt;=Y$5,(Inputs!$D33*1),0)</f>
        <v>0</v>
      </c>
      <c r="Z13" s="585">
        <f>IF((EOMONTH(Inputs!$B33,0)+1)&lt;=Z$5,(Inputs!$D33*1),0)</f>
        <v>0</v>
      </c>
      <c r="AA13" s="585">
        <f>IF((EOMONTH(Inputs!$B33,0)+1)&lt;=AA$5,(Inputs!$D33*1),0)</f>
        <v>0</v>
      </c>
      <c r="AB13" s="585">
        <f>IF((EOMONTH(Inputs!$B33,0)+1)&lt;=AB$5,(Inputs!$D33*1),0)</f>
        <v>0</v>
      </c>
      <c r="AC13" s="585">
        <f>IF((EOMONTH(Inputs!$B33,0)+1)&lt;=AC$5,(Inputs!$D33*1),0)</f>
        <v>0</v>
      </c>
      <c r="AD13" s="585">
        <f>IF((EOMONTH(Inputs!$B33,0)+1)&lt;=AD$5,(Inputs!$D33*1),0)</f>
        <v>0</v>
      </c>
      <c r="AE13" s="585">
        <f>IF((EOMONTH(Inputs!$B33,0)+1)&lt;=AE$5,(Inputs!$D33*1),0)</f>
        <v>0</v>
      </c>
      <c r="AF13" s="585">
        <f>IF((EOMONTH(Inputs!$B33,0)+1)&lt;=AF$5,(Inputs!$D33*1),0)</f>
        <v>0</v>
      </c>
      <c r="AG13" s="585">
        <f>IF((EOMONTH(Inputs!$B33,0)+1)&lt;=AG$5,(Inputs!$D33*1),0)</f>
        <v>0</v>
      </c>
      <c r="AH13" s="585">
        <f>IF((EOMONTH(Inputs!$B33,0)+1)&lt;=AH$5,(Inputs!$D33*1),0)</f>
        <v>0</v>
      </c>
      <c r="AI13" s="585">
        <f>IF((EOMONTH(Inputs!$B33,0)+1)&lt;=AI$5,(Inputs!$D33*1),0)</f>
        <v>0</v>
      </c>
      <c r="AJ13" s="585">
        <f>IF((EOMONTH(Inputs!$B33,0)+1)&lt;=AJ$5,(Inputs!$D33*1),0)</f>
        <v>0</v>
      </c>
      <c r="AK13" s="585">
        <f>IF((EOMONTH(Inputs!$B33,0)+1)&lt;=AK$5,(Inputs!$D33*1),0)</f>
        <v>0</v>
      </c>
      <c r="AL13" s="585">
        <f>IF((EOMONTH(Inputs!$B33,0)+1)&lt;=AL$5,(Inputs!$D33*1),0)</f>
        <v>0</v>
      </c>
      <c r="AM13" s="585">
        <f>IF((EOMONTH(Inputs!$B33,0)+1)&lt;=AM$5,(Inputs!$D33*1),0)</f>
        <v>0</v>
      </c>
      <c r="AN13" s="585">
        <f>IF((EOMONTH(Inputs!$B33,0)+1)&lt;=AN$5,(Inputs!$D33*1),0)</f>
        <v>0</v>
      </c>
      <c r="AO13" s="585">
        <f>IF((EOMONTH(Inputs!$B33,0)+1)&lt;=AO$5,(Inputs!$D33*1),0)</f>
        <v>0</v>
      </c>
    </row>
    <row r="14" spans="1:41" x14ac:dyDescent="0.2">
      <c r="B14" s="49" t="s">
        <v>330</v>
      </c>
      <c r="C14" s="582">
        <f t="shared" si="2"/>
        <v>0</v>
      </c>
      <c r="D14" s="583">
        <f t="shared" si="3"/>
        <v>0</v>
      </c>
      <c r="E14" s="584">
        <f t="shared" si="4"/>
        <v>0</v>
      </c>
      <c r="F14" s="585">
        <f>IF((EOMONTH(Inputs!$B37,0)+1)&lt;=F$5,(Inputs!$D37*1),0)</f>
        <v>0</v>
      </c>
      <c r="G14" s="585">
        <f>IF((EOMONTH(Inputs!$B37,0)+1)&lt;=G$5,(Inputs!$D37*1),0)</f>
        <v>0</v>
      </c>
      <c r="H14" s="585">
        <f>IF((EOMONTH(Inputs!$B37,0)+1)&lt;=H$5,(Inputs!$D37*1),0)</f>
        <v>0</v>
      </c>
      <c r="I14" s="585">
        <f>IF((EOMONTH(Inputs!$B37,0)+1)&lt;=I$5,(Inputs!$D37*1),0)</f>
        <v>0</v>
      </c>
      <c r="J14" s="585">
        <f>IF((EOMONTH(Inputs!$B37,0)+1)&lt;=J$5,(Inputs!$D37*1),0)</f>
        <v>0</v>
      </c>
      <c r="K14" s="585">
        <f>IF((EOMONTH(Inputs!$B37,0)+1)&lt;=K$5,(Inputs!$D37*1),0)</f>
        <v>0</v>
      </c>
      <c r="L14" s="585">
        <f>IF((EOMONTH(Inputs!$B37,0)+1)&lt;=L$5,(Inputs!$D37*1),0)</f>
        <v>0</v>
      </c>
      <c r="M14" s="585">
        <f>IF((EOMONTH(Inputs!$B37,0)+1)&lt;=M$5,(Inputs!$D37*1),0)</f>
        <v>0</v>
      </c>
      <c r="N14" s="585">
        <f>IF((EOMONTH(Inputs!$B37,0)+1)&lt;=N$5,(Inputs!$D37*1),0)</f>
        <v>0</v>
      </c>
      <c r="O14" s="585">
        <f>IF((EOMONTH(Inputs!$B37,0)+1)&lt;=O$5,(Inputs!$D37*1),0)</f>
        <v>0</v>
      </c>
      <c r="P14" s="585">
        <f>IF((EOMONTH(Inputs!$B37,0)+1)&lt;=P$5,(Inputs!$D37*1),0)</f>
        <v>0</v>
      </c>
      <c r="Q14" s="585">
        <f>IF((EOMONTH(Inputs!$B37,0)+1)&lt;=Q$5,(Inputs!$D37*1),0)</f>
        <v>0</v>
      </c>
      <c r="R14" s="585">
        <f>IF((EOMONTH(Inputs!$B37,0)+1)&lt;=R$5,(Inputs!$D37*1),0)</f>
        <v>0</v>
      </c>
      <c r="S14" s="585">
        <f>IF((EOMONTH(Inputs!$B37,0)+1)&lt;=S$5,(Inputs!$D37*1),0)</f>
        <v>0</v>
      </c>
      <c r="T14" s="585">
        <f>IF((EOMONTH(Inputs!$B37,0)+1)&lt;=T$5,(Inputs!$D37*1),0)</f>
        <v>0</v>
      </c>
      <c r="U14" s="585">
        <f>IF((EOMONTH(Inputs!$B37,0)+1)&lt;=U$5,(Inputs!$D37*1),0)</f>
        <v>0</v>
      </c>
      <c r="V14" s="585">
        <f>IF((EOMONTH(Inputs!$B37,0)+1)&lt;=V$5,(Inputs!$D37*1),0)</f>
        <v>0</v>
      </c>
      <c r="W14" s="585">
        <f>IF((EOMONTH(Inputs!$B37,0)+1)&lt;=W$5,(Inputs!$D37*1),0)</f>
        <v>0</v>
      </c>
      <c r="X14" s="585">
        <f>IF((EOMONTH(Inputs!$B37,0)+1)&lt;=X$5,(Inputs!$D37*1),0)</f>
        <v>0</v>
      </c>
      <c r="Y14" s="585">
        <f>IF((EOMONTH(Inputs!$B37,0)+1)&lt;=Y$5,(Inputs!$D37*1),0)</f>
        <v>0</v>
      </c>
      <c r="Z14" s="585">
        <f>IF((EOMONTH(Inputs!$B37,0)+1)&lt;=Z$5,(Inputs!$D37*1),0)</f>
        <v>0</v>
      </c>
      <c r="AA14" s="585">
        <f>IF((EOMONTH(Inputs!$B37,0)+1)&lt;=AA$5,(Inputs!$D37*1),0)</f>
        <v>0</v>
      </c>
      <c r="AB14" s="585">
        <f>IF((EOMONTH(Inputs!$B37,0)+1)&lt;=AB$5,(Inputs!$D37*1),0)</f>
        <v>0</v>
      </c>
      <c r="AC14" s="585">
        <f>IF((EOMONTH(Inputs!$B37,0)+1)&lt;=AC$5,(Inputs!$D37*1),0)</f>
        <v>0</v>
      </c>
      <c r="AD14" s="585">
        <f>IF((EOMONTH(Inputs!$B37,0)+1)&lt;=AD$5,(Inputs!$D37*1),0)</f>
        <v>0</v>
      </c>
      <c r="AE14" s="585">
        <f>IF((EOMONTH(Inputs!$B37,0)+1)&lt;=AE$5,(Inputs!$D37*1),0)</f>
        <v>0</v>
      </c>
      <c r="AF14" s="585">
        <f>IF((EOMONTH(Inputs!$B37,0)+1)&lt;=AF$5,(Inputs!$D37*1),0)</f>
        <v>0</v>
      </c>
      <c r="AG14" s="585">
        <f>IF((EOMONTH(Inputs!$B37,0)+1)&lt;=AG$5,(Inputs!$D37*1),0)</f>
        <v>0</v>
      </c>
      <c r="AH14" s="585">
        <f>IF((EOMONTH(Inputs!$B37,0)+1)&lt;=AH$5,(Inputs!$D37*1),0)</f>
        <v>0</v>
      </c>
      <c r="AI14" s="585">
        <f>IF((EOMONTH(Inputs!$B37,0)+1)&lt;=AI$5,(Inputs!$D37*1),0)</f>
        <v>0</v>
      </c>
      <c r="AJ14" s="585">
        <f>IF((EOMONTH(Inputs!$B37,0)+1)&lt;=AJ$5,(Inputs!$D37*1),0)</f>
        <v>0</v>
      </c>
      <c r="AK14" s="585">
        <f>IF((EOMONTH(Inputs!$B37,0)+1)&lt;=AK$5,(Inputs!$D37*1),0)</f>
        <v>0</v>
      </c>
      <c r="AL14" s="585">
        <f>IF((EOMONTH(Inputs!$B37,0)+1)&lt;=AL$5,(Inputs!$D37*1),0)</f>
        <v>0</v>
      </c>
      <c r="AM14" s="585">
        <f>IF((EOMONTH(Inputs!$B37,0)+1)&lt;=AM$5,(Inputs!$D37*1),0)</f>
        <v>0</v>
      </c>
      <c r="AN14" s="585">
        <f>IF((EOMONTH(Inputs!$B37,0)+1)&lt;=AN$5,(Inputs!$D37*1),0)</f>
        <v>0</v>
      </c>
      <c r="AO14" s="585">
        <f>IF((EOMONTH(Inputs!$B37,0)+1)&lt;=AO$5,(Inputs!$D37*1),0)</f>
        <v>0</v>
      </c>
    </row>
    <row r="15" spans="1:41" x14ac:dyDescent="0.2">
      <c r="B15" s="49" t="s">
        <v>331</v>
      </c>
      <c r="C15" s="582">
        <f t="shared" si="2"/>
        <v>0</v>
      </c>
      <c r="D15" s="583">
        <f t="shared" si="3"/>
        <v>0</v>
      </c>
      <c r="E15" s="584">
        <f t="shared" si="4"/>
        <v>0</v>
      </c>
      <c r="F15" s="585">
        <f>IF((EOMONTH(Inputs!$B38,0)+1)&lt;=F$5,(Inputs!$D38*1),0)</f>
        <v>0</v>
      </c>
      <c r="G15" s="585">
        <f>IF((EOMONTH(Inputs!$B38,0)+1)&lt;=G$5,(Inputs!$D38*1),0)</f>
        <v>0</v>
      </c>
      <c r="H15" s="585">
        <f>IF((EOMONTH(Inputs!$B38,0)+1)&lt;=H$5,(Inputs!$D38*1),0)</f>
        <v>0</v>
      </c>
      <c r="I15" s="585">
        <f>IF((EOMONTH(Inputs!$B38,0)+1)&lt;=I$5,(Inputs!$D38*1),0)</f>
        <v>0</v>
      </c>
      <c r="J15" s="585">
        <f>IF((EOMONTH(Inputs!$B38,0)+1)&lt;=J$5,(Inputs!$D38*1),0)</f>
        <v>0</v>
      </c>
      <c r="K15" s="585">
        <f>IF((EOMONTH(Inputs!$B38,0)+1)&lt;=K$5,(Inputs!$D38*1),0)</f>
        <v>0</v>
      </c>
      <c r="L15" s="585">
        <f>IF((EOMONTH(Inputs!$B38,0)+1)&lt;=L$5,(Inputs!$D38*1),0)</f>
        <v>0</v>
      </c>
      <c r="M15" s="585">
        <f>IF((EOMONTH(Inputs!$B38,0)+1)&lt;=M$5,(Inputs!$D38*1),0)</f>
        <v>0</v>
      </c>
      <c r="N15" s="585">
        <f>IF((EOMONTH(Inputs!$B38,0)+1)&lt;=N$5,(Inputs!$D38*1),0)</f>
        <v>0</v>
      </c>
      <c r="O15" s="585">
        <f>IF((EOMONTH(Inputs!$B38,0)+1)&lt;=O$5,(Inputs!$D38*1),0)</f>
        <v>0</v>
      </c>
      <c r="P15" s="585">
        <f>IF((EOMONTH(Inputs!$B38,0)+1)&lt;=P$5,(Inputs!$D38*1),0)</f>
        <v>0</v>
      </c>
      <c r="Q15" s="585">
        <f>IF((EOMONTH(Inputs!$B38,0)+1)&lt;=Q$5,(Inputs!$D38*1),0)</f>
        <v>0</v>
      </c>
      <c r="R15" s="585">
        <f>IF((EOMONTH(Inputs!$B38,0)+1)&lt;=R$5,(Inputs!$D38*1),0)</f>
        <v>0</v>
      </c>
      <c r="S15" s="585">
        <f>IF((EOMONTH(Inputs!$B38,0)+1)&lt;=S$5,(Inputs!$D38*1),0)</f>
        <v>0</v>
      </c>
      <c r="T15" s="585">
        <f>IF((EOMONTH(Inputs!$B38,0)+1)&lt;=T$5,(Inputs!$D38*1),0)</f>
        <v>0</v>
      </c>
      <c r="U15" s="585">
        <f>IF((EOMONTH(Inputs!$B38,0)+1)&lt;=U$5,(Inputs!$D38*1),0)</f>
        <v>0</v>
      </c>
      <c r="V15" s="585">
        <f>IF((EOMONTH(Inputs!$B38,0)+1)&lt;=V$5,(Inputs!$D38*1),0)</f>
        <v>0</v>
      </c>
      <c r="W15" s="585">
        <f>IF((EOMONTH(Inputs!$B38,0)+1)&lt;=W$5,(Inputs!$D38*1),0)</f>
        <v>0</v>
      </c>
      <c r="X15" s="585">
        <f>IF((EOMONTH(Inputs!$B38,0)+1)&lt;=X$5,(Inputs!$D38*1),0)</f>
        <v>0</v>
      </c>
      <c r="Y15" s="585">
        <f>IF((EOMONTH(Inputs!$B38,0)+1)&lt;=Y$5,(Inputs!$D38*1),0)</f>
        <v>0</v>
      </c>
      <c r="Z15" s="585">
        <f>IF((EOMONTH(Inputs!$B38,0)+1)&lt;=Z$5,(Inputs!$D38*1),0)</f>
        <v>0</v>
      </c>
      <c r="AA15" s="585">
        <f>IF((EOMONTH(Inputs!$B38,0)+1)&lt;=AA$5,(Inputs!$D38*1),0)</f>
        <v>0</v>
      </c>
      <c r="AB15" s="585">
        <f>IF((EOMONTH(Inputs!$B38,0)+1)&lt;=AB$5,(Inputs!$D38*1),0)</f>
        <v>0</v>
      </c>
      <c r="AC15" s="585">
        <f>IF((EOMONTH(Inputs!$B38,0)+1)&lt;=AC$5,(Inputs!$D38*1),0)</f>
        <v>0</v>
      </c>
      <c r="AD15" s="585">
        <f>IF((EOMONTH(Inputs!$B38,0)+1)&lt;=AD$5,(Inputs!$D38*1),0)</f>
        <v>0</v>
      </c>
      <c r="AE15" s="585">
        <f>IF((EOMONTH(Inputs!$B38,0)+1)&lt;=AE$5,(Inputs!$D38*1),0)</f>
        <v>0</v>
      </c>
      <c r="AF15" s="585">
        <f>IF((EOMONTH(Inputs!$B38,0)+1)&lt;=AF$5,(Inputs!$D38*1),0)</f>
        <v>0</v>
      </c>
      <c r="AG15" s="585">
        <f>IF((EOMONTH(Inputs!$B38,0)+1)&lt;=AG$5,(Inputs!$D38*1),0)</f>
        <v>0</v>
      </c>
      <c r="AH15" s="585">
        <f>IF((EOMONTH(Inputs!$B38,0)+1)&lt;=AH$5,(Inputs!$D38*1),0)</f>
        <v>0</v>
      </c>
      <c r="AI15" s="585">
        <f>IF((EOMONTH(Inputs!$B38,0)+1)&lt;=AI$5,(Inputs!$D38*1),0)</f>
        <v>0</v>
      </c>
      <c r="AJ15" s="585">
        <f>IF((EOMONTH(Inputs!$B38,0)+1)&lt;=AJ$5,(Inputs!$D38*1),0)</f>
        <v>0</v>
      </c>
      <c r="AK15" s="585">
        <f>IF((EOMONTH(Inputs!$B38,0)+1)&lt;=AK$5,(Inputs!$D38*1),0)</f>
        <v>0</v>
      </c>
      <c r="AL15" s="585">
        <f>IF((EOMONTH(Inputs!$B38,0)+1)&lt;=AL$5,(Inputs!$D38*1),0)</f>
        <v>0</v>
      </c>
      <c r="AM15" s="585">
        <f>IF((EOMONTH(Inputs!$B38,0)+1)&lt;=AM$5,(Inputs!$D38*1),0)</f>
        <v>0</v>
      </c>
      <c r="AN15" s="585">
        <f>IF((EOMONTH(Inputs!$B38,0)+1)&lt;=AN$5,(Inputs!$D38*1),0)</f>
        <v>0</v>
      </c>
      <c r="AO15" s="585">
        <f>IF((EOMONTH(Inputs!$B38,0)+1)&lt;=AO$5,(Inputs!$D38*1),0)</f>
        <v>0</v>
      </c>
    </row>
    <row r="16" spans="1:41" x14ac:dyDescent="0.2">
      <c r="B16" s="49" t="s">
        <v>332</v>
      </c>
      <c r="C16" s="582">
        <f t="shared" si="2"/>
        <v>0</v>
      </c>
      <c r="D16" s="583">
        <f t="shared" si="3"/>
        <v>0</v>
      </c>
      <c r="E16" s="584">
        <f t="shared" si="4"/>
        <v>0</v>
      </c>
      <c r="F16" s="585">
        <f>IF((EOMONTH(Inputs!$B39,0)+1)&lt;=F$5,(Inputs!$D39*1),0)</f>
        <v>0</v>
      </c>
      <c r="G16" s="585">
        <f>IF((EOMONTH(Inputs!$B39,0)+1)&lt;=G$5,(Inputs!$D39*1),0)</f>
        <v>0</v>
      </c>
      <c r="H16" s="585">
        <f>IF((EOMONTH(Inputs!$B39,0)+1)&lt;=H$5,(Inputs!$D39*1),0)</f>
        <v>0</v>
      </c>
      <c r="I16" s="585">
        <f>IF((EOMONTH(Inputs!$B39,0)+1)&lt;=I$5,(Inputs!$D39*1),0)</f>
        <v>0</v>
      </c>
      <c r="J16" s="585">
        <f>IF((EOMONTH(Inputs!$B39,0)+1)&lt;=J$5,(Inputs!$D39*1),0)</f>
        <v>0</v>
      </c>
      <c r="K16" s="585">
        <f>IF((EOMONTH(Inputs!$B39,0)+1)&lt;=K$5,(Inputs!$D39*1),0)</f>
        <v>0</v>
      </c>
      <c r="L16" s="585">
        <f>IF((EOMONTH(Inputs!$B39,0)+1)&lt;=L$5,(Inputs!$D39*1),0)</f>
        <v>0</v>
      </c>
      <c r="M16" s="585">
        <f>IF((EOMONTH(Inputs!$B39,0)+1)&lt;=M$5,(Inputs!$D39*1),0)</f>
        <v>0</v>
      </c>
      <c r="N16" s="585">
        <f>IF((EOMONTH(Inputs!$B39,0)+1)&lt;=N$5,(Inputs!$D39*1),0)</f>
        <v>0</v>
      </c>
      <c r="O16" s="585">
        <f>IF((EOMONTH(Inputs!$B39,0)+1)&lt;=O$5,(Inputs!$D39*1),0)</f>
        <v>0</v>
      </c>
      <c r="P16" s="585">
        <f>IF((EOMONTH(Inputs!$B39,0)+1)&lt;=P$5,(Inputs!$D39*1),0)</f>
        <v>0</v>
      </c>
      <c r="Q16" s="585">
        <f>IF((EOMONTH(Inputs!$B39,0)+1)&lt;=Q$5,(Inputs!$D39*1),0)</f>
        <v>0</v>
      </c>
      <c r="R16" s="585">
        <f>IF((EOMONTH(Inputs!$B39,0)+1)&lt;=R$5,(Inputs!$D39*1),0)</f>
        <v>0</v>
      </c>
      <c r="S16" s="585">
        <f>IF((EOMONTH(Inputs!$B39,0)+1)&lt;=S$5,(Inputs!$D39*1),0)</f>
        <v>0</v>
      </c>
      <c r="T16" s="585">
        <f>IF((EOMONTH(Inputs!$B39,0)+1)&lt;=T$5,(Inputs!$D39*1),0)</f>
        <v>0</v>
      </c>
      <c r="U16" s="585">
        <f>IF((EOMONTH(Inputs!$B39,0)+1)&lt;=U$5,(Inputs!$D39*1),0)</f>
        <v>0</v>
      </c>
      <c r="V16" s="585">
        <f>IF((EOMONTH(Inputs!$B39,0)+1)&lt;=V$5,(Inputs!$D39*1),0)</f>
        <v>0</v>
      </c>
      <c r="W16" s="585">
        <f>IF((EOMONTH(Inputs!$B39,0)+1)&lt;=W$5,(Inputs!$D39*1),0)</f>
        <v>0</v>
      </c>
      <c r="X16" s="585">
        <f>IF((EOMONTH(Inputs!$B39,0)+1)&lt;=X$5,(Inputs!$D39*1),0)</f>
        <v>0</v>
      </c>
      <c r="Y16" s="585">
        <f>IF((EOMONTH(Inputs!$B39,0)+1)&lt;=Y$5,(Inputs!$D39*1),0)</f>
        <v>0</v>
      </c>
      <c r="Z16" s="585">
        <f>IF((EOMONTH(Inputs!$B39,0)+1)&lt;=Z$5,(Inputs!$D39*1),0)</f>
        <v>0</v>
      </c>
      <c r="AA16" s="585">
        <f>IF((EOMONTH(Inputs!$B39,0)+1)&lt;=AA$5,(Inputs!$D39*1),0)</f>
        <v>0</v>
      </c>
      <c r="AB16" s="585">
        <f>IF((EOMONTH(Inputs!$B39,0)+1)&lt;=AB$5,(Inputs!$D39*1),0)</f>
        <v>0</v>
      </c>
      <c r="AC16" s="585">
        <f>IF((EOMONTH(Inputs!$B39,0)+1)&lt;=AC$5,(Inputs!$D39*1),0)</f>
        <v>0</v>
      </c>
      <c r="AD16" s="585">
        <f>IF((EOMONTH(Inputs!$B39,0)+1)&lt;=AD$5,(Inputs!$D39*1),0)</f>
        <v>0</v>
      </c>
      <c r="AE16" s="585">
        <f>IF((EOMONTH(Inputs!$B39,0)+1)&lt;=AE$5,(Inputs!$D39*1),0)</f>
        <v>0</v>
      </c>
      <c r="AF16" s="585">
        <f>IF((EOMONTH(Inputs!$B39,0)+1)&lt;=AF$5,(Inputs!$D39*1),0)</f>
        <v>0</v>
      </c>
      <c r="AG16" s="585">
        <f>IF((EOMONTH(Inputs!$B39,0)+1)&lt;=AG$5,(Inputs!$D39*1),0)</f>
        <v>0</v>
      </c>
      <c r="AH16" s="585">
        <f>IF((EOMONTH(Inputs!$B39,0)+1)&lt;=AH$5,(Inputs!$D39*1),0)</f>
        <v>0</v>
      </c>
      <c r="AI16" s="585">
        <f>IF((EOMONTH(Inputs!$B39,0)+1)&lt;=AI$5,(Inputs!$D39*1),0)</f>
        <v>0</v>
      </c>
      <c r="AJ16" s="585">
        <f>IF((EOMONTH(Inputs!$B39,0)+1)&lt;=AJ$5,(Inputs!$D39*1),0)</f>
        <v>0</v>
      </c>
      <c r="AK16" s="585">
        <f>IF((EOMONTH(Inputs!$B39,0)+1)&lt;=AK$5,(Inputs!$D39*1),0)</f>
        <v>0</v>
      </c>
      <c r="AL16" s="585">
        <f>IF((EOMONTH(Inputs!$B39,0)+1)&lt;=AL$5,(Inputs!$D39*1),0)</f>
        <v>0</v>
      </c>
      <c r="AM16" s="585">
        <f>IF((EOMONTH(Inputs!$B39,0)+1)&lt;=AM$5,(Inputs!$D39*1),0)</f>
        <v>0</v>
      </c>
      <c r="AN16" s="585">
        <f>IF((EOMONTH(Inputs!$B39,0)+1)&lt;=AN$5,(Inputs!$D39*1),0)</f>
        <v>0</v>
      </c>
      <c r="AO16" s="585">
        <f>IF((EOMONTH(Inputs!$B39,0)+1)&lt;=AO$5,(Inputs!$D39*1),0)</f>
        <v>0</v>
      </c>
    </row>
    <row r="17" spans="1:46" x14ac:dyDescent="0.2">
      <c r="B17" s="49" t="s">
        <v>333</v>
      </c>
      <c r="C17" s="582">
        <f t="shared" si="2"/>
        <v>0</v>
      </c>
      <c r="D17" s="583">
        <f t="shared" si="3"/>
        <v>0</v>
      </c>
      <c r="E17" s="584">
        <f t="shared" si="4"/>
        <v>0</v>
      </c>
      <c r="F17" s="585">
        <f>IF((EOMONTH(Inputs!$B40,0)+1)&lt;=F$5,(Inputs!$D40*1),0)</f>
        <v>0</v>
      </c>
      <c r="G17" s="585">
        <f>IF((EOMONTH(Inputs!$B40,0)+1)&lt;=G$5,(Inputs!$D40*1),0)</f>
        <v>0</v>
      </c>
      <c r="H17" s="585">
        <f>IF((EOMONTH(Inputs!$B40,0)+1)&lt;=H$5,(Inputs!$D40*1),0)</f>
        <v>0</v>
      </c>
      <c r="I17" s="585">
        <f>IF((EOMONTH(Inputs!$B40,0)+1)&lt;=I$5,(Inputs!$D40*1),0)</f>
        <v>0</v>
      </c>
      <c r="J17" s="585">
        <f>IF((EOMONTH(Inputs!$B40,0)+1)&lt;=J$5,(Inputs!$D40*1),0)</f>
        <v>0</v>
      </c>
      <c r="K17" s="585">
        <f>IF((EOMONTH(Inputs!$B40,0)+1)&lt;=K$5,(Inputs!$D40*1),0)</f>
        <v>0</v>
      </c>
      <c r="L17" s="585">
        <f>IF((EOMONTH(Inputs!$B40,0)+1)&lt;=L$5,(Inputs!$D40*1),0)</f>
        <v>0</v>
      </c>
      <c r="M17" s="585">
        <f>IF((EOMONTH(Inputs!$B40,0)+1)&lt;=M$5,(Inputs!$D40*1),0)</f>
        <v>0</v>
      </c>
      <c r="N17" s="585">
        <f>IF((EOMONTH(Inputs!$B40,0)+1)&lt;=N$5,(Inputs!$D40*1),0)</f>
        <v>0</v>
      </c>
      <c r="O17" s="585">
        <f>IF((EOMONTH(Inputs!$B40,0)+1)&lt;=O$5,(Inputs!$D40*1),0)</f>
        <v>0</v>
      </c>
      <c r="P17" s="585">
        <f>IF((EOMONTH(Inputs!$B40,0)+1)&lt;=P$5,(Inputs!$D40*1),0)</f>
        <v>0</v>
      </c>
      <c r="Q17" s="585">
        <f>IF((EOMONTH(Inputs!$B40,0)+1)&lt;=Q$5,(Inputs!$D40*1),0)</f>
        <v>0</v>
      </c>
      <c r="R17" s="585">
        <f>IF((EOMONTH(Inputs!$B40,0)+1)&lt;=R$5,(Inputs!$D40*1),0)</f>
        <v>0</v>
      </c>
      <c r="S17" s="585">
        <f>IF((EOMONTH(Inputs!$B40,0)+1)&lt;=S$5,(Inputs!$D40*1),0)</f>
        <v>0</v>
      </c>
      <c r="T17" s="585">
        <f>IF((EOMONTH(Inputs!$B40,0)+1)&lt;=T$5,(Inputs!$D40*1),0)</f>
        <v>0</v>
      </c>
      <c r="U17" s="585">
        <f>IF((EOMONTH(Inputs!$B40,0)+1)&lt;=U$5,(Inputs!$D40*1),0)</f>
        <v>0</v>
      </c>
      <c r="V17" s="585">
        <f>IF((EOMONTH(Inputs!$B40,0)+1)&lt;=V$5,(Inputs!$D40*1),0)</f>
        <v>0</v>
      </c>
      <c r="W17" s="585">
        <f>IF((EOMONTH(Inputs!$B40,0)+1)&lt;=W$5,(Inputs!$D40*1),0)</f>
        <v>0</v>
      </c>
      <c r="X17" s="585">
        <f>IF((EOMONTH(Inputs!$B40,0)+1)&lt;=X$5,(Inputs!$D40*1),0)</f>
        <v>0</v>
      </c>
      <c r="Y17" s="585">
        <f>IF((EOMONTH(Inputs!$B40,0)+1)&lt;=Y$5,(Inputs!$D40*1),0)</f>
        <v>0</v>
      </c>
      <c r="Z17" s="585">
        <f>IF((EOMONTH(Inputs!$B40,0)+1)&lt;=Z$5,(Inputs!$D40*1),0)</f>
        <v>0</v>
      </c>
      <c r="AA17" s="585">
        <f>IF((EOMONTH(Inputs!$B40,0)+1)&lt;=AA$5,(Inputs!$D40*1),0)</f>
        <v>0</v>
      </c>
      <c r="AB17" s="585">
        <f>IF((EOMONTH(Inputs!$B40,0)+1)&lt;=AB$5,(Inputs!$D40*1),0)</f>
        <v>0</v>
      </c>
      <c r="AC17" s="585">
        <f>IF((EOMONTH(Inputs!$B40,0)+1)&lt;=AC$5,(Inputs!$D40*1),0)</f>
        <v>0</v>
      </c>
      <c r="AD17" s="585">
        <f>IF((EOMONTH(Inputs!$B40,0)+1)&lt;=AD$5,(Inputs!$D40*1),0)</f>
        <v>0</v>
      </c>
      <c r="AE17" s="585">
        <f>IF((EOMONTH(Inputs!$B40,0)+1)&lt;=AE$5,(Inputs!$D40*1),0)</f>
        <v>0</v>
      </c>
      <c r="AF17" s="585">
        <f>IF((EOMONTH(Inputs!$B40,0)+1)&lt;=AF$5,(Inputs!$D40*1),0)</f>
        <v>0</v>
      </c>
      <c r="AG17" s="585">
        <f>IF((EOMONTH(Inputs!$B40,0)+1)&lt;=AG$5,(Inputs!$D40*1),0)</f>
        <v>0</v>
      </c>
      <c r="AH17" s="585">
        <f>IF((EOMONTH(Inputs!$B40,0)+1)&lt;=AH$5,(Inputs!$D40*1),0)</f>
        <v>0</v>
      </c>
      <c r="AI17" s="585">
        <f>IF((EOMONTH(Inputs!$B40,0)+1)&lt;=AI$5,(Inputs!$D40*1),0)</f>
        <v>0</v>
      </c>
      <c r="AJ17" s="585">
        <f>IF((EOMONTH(Inputs!$B40,0)+1)&lt;=AJ$5,(Inputs!$D40*1),0)</f>
        <v>0</v>
      </c>
      <c r="AK17" s="585">
        <f>IF((EOMONTH(Inputs!$B40,0)+1)&lt;=AK$5,(Inputs!$D40*1),0)</f>
        <v>0</v>
      </c>
      <c r="AL17" s="585">
        <f>IF((EOMONTH(Inputs!$B40,0)+1)&lt;=AL$5,(Inputs!$D40*1),0)</f>
        <v>0</v>
      </c>
      <c r="AM17" s="585">
        <f>IF((EOMONTH(Inputs!$B40,0)+1)&lt;=AM$5,(Inputs!$D40*1),0)</f>
        <v>0</v>
      </c>
      <c r="AN17" s="585">
        <f>IF((EOMONTH(Inputs!$B40,0)+1)&lt;=AN$5,(Inputs!$D40*1),0)</f>
        <v>0</v>
      </c>
      <c r="AO17" s="585">
        <f>IF((EOMONTH(Inputs!$B40,0)+1)&lt;=AO$5,(Inputs!$D40*1),0)</f>
        <v>0</v>
      </c>
    </row>
    <row r="18" spans="1:46" x14ac:dyDescent="0.2">
      <c r="B18" s="49" t="s">
        <v>334</v>
      </c>
      <c r="C18" s="582">
        <f t="shared" si="2"/>
        <v>0</v>
      </c>
      <c r="D18" s="583">
        <f t="shared" si="3"/>
        <v>0</v>
      </c>
      <c r="E18" s="584">
        <f t="shared" si="4"/>
        <v>0</v>
      </c>
      <c r="F18" s="585">
        <f>IF((EOMONTH(Inputs!$B41,0)+1)&lt;=F$5,(Inputs!$D41*1),0)</f>
        <v>0</v>
      </c>
      <c r="G18" s="585">
        <f>IF((EOMONTH(Inputs!$B41,0)+1)&lt;=G$5,(Inputs!$D41*1),0)</f>
        <v>0</v>
      </c>
      <c r="H18" s="585">
        <f>IF((EOMONTH(Inputs!$B41,0)+1)&lt;=H$5,(Inputs!$D41*1),0)</f>
        <v>0</v>
      </c>
      <c r="I18" s="585">
        <f>IF((EOMONTH(Inputs!$B41,0)+1)&lt;=I$5,(Inputs!$D41*1),0)</f>
        <v>0</v>
      </c>
      <c r="J18" s="585">
        <f>IF((EOMONTH(Inputs!$B41,0)+1)&lt;=J$5,(Inputs!$D41*1),0)</f>
        <v>0</v>
      </c>
      <c r="K18" s="585">
        <f>IF((EOMONTH(Inputs!$B41,0)+1)&lt;=K$5,(Inputs!$D41*1),0)</f>
        <v>0</v>
      </c>
      <c r="L18" s="585">
        <f>IF((EOMONTH(Inputs!$B41,0)+1)&lt;=L$5,(Inputs!$D41*1),0)</f>
        <v>0</v>
      </c>
      <c r="M18" s="585">
        <f>IF((EOMONTH(Inputs!$B41,0)+1)&lt;=M$5,(Inputs!$D41*1),0)</f>
        <v>0</v>
      </c>
      <c r="N18" s="585">
        <f>IF((EOMONTH(Inputs!$B41,0)+1)&lt;=N$5,(Inputs!$D41*1),0)</f>
        <v>0</v>
      </c>
      <c r="O18" s="585">
        <f>IF((EOMONTH(Inputs!$B41,0)+1)&lt;=O$5,(Inputs!$D41*1),0)</f>
        <v>0</v>
      </c>
      <c r="P18" s="585">
        <f>IF((EOMONTH(Inputs!$B41,0)+1)&lt;=P$5,(Inputs!$D41*1),0)</f>
        <v>0</v>
      </c>
      <c r="Q18" s="585">
        <f>IF((EOMONTH(Inputs!$B41,0)+1)&lt;=Q$5,(Inputs!$D41*1),0)</f>
        <v>0</v>
      </c>
      <c r="R18" s="585">
        <f>IF((EOMONTH(Inputs!$B41,0)+1)&lt;=R$5,(Inputs!$D41*1),0)</f>
        <v>0</v>
      </c>
      <c r="S18" s="585">
        <f>IF((EOMONTH(Inputs!$B41,0)+1)&lt;=S$5,(Inputs!$D41*1),0)</f>
        <v>0</v>
      </c>
      <c r="T18" s="585">
        <f>IF((EOMONTH(Inputs!$B41,0)+1)&lt;=T$5,(Inputs!$D41*1),0)</f>
        <v>0</v>
      </c>
      <c r="U18" s="585">
        <f>IF((EOMONTH(Inputs!$B41,0)+1)&lt;=U$5,(Inputs!$D41*1),0)</f>
        <v>0</v>
      </c>
      <c r="V18" s="585">
        <f>IF((EOMONTH(Inputs!$B41,0)+1)&lt;=V$5,(Inputs!$D41*1),0)</f>
        <v>0</v>
      </c>
      <c r="W18" s="585">
        <f>IF((EOMONTH(Inputs!$B41,0)+1)&lt;=W$5,(Inputs!$D41*1),0)</f>
        <v>0</v>
      </c>
      <c r="X18" s="585">
        <f>IF((EOMONTH(Inputs!$B41,0)+1)&lt;=X$5,(Inputs!$D41*1),0)</f>
        <v>0</v>
      </c>
      <c r="Y18" s="585">
        <f>IF((EOMONTH(Inputs!$B41,0)+1)&lt;=Y$5,(Inputs!$D41*1),0)</f>
        <v>0</v>
      </c>
      <c r="Z18" s="585">
        <f>IF((EOMONTH(Inputs!$B41,0)+1)&lt;=Z$5,(Inputs!$D41*1),0)</f>
        <v>0</v>
      </c>
      <c r="AA18" s="585">
        <f>IF((EOMONTH(Inputs!$B41,0)+1)&lt;=AA$5,(Inputs!$D41*1),0)</f>
        <v>0</v>
      </c>
      <c r="AB18" s="585">
        <f>IF((EOMONTH(Inputs!$B41,0)+1)&lt;=AB$5,(Inputs!$D41*1),0)</f>
        <v>0</v>
      </c>
      <c r="AC18" s="585">
        <f>IF((EOMONTH(Inputs!$B41,0)+1)&lt;=AC$5,(Inputs!$D41*1),0)</f>
        <v>0</v>
      </c>
      <c r="AD18" s="585">
        <f>IF((EOMONTH(Inputs!$B41,0)+1)&lt;=AD$5,(Inputs!$D41*1),0)</f>
        <v>0</v>
      </c>
      <c r="AE18" s="585">
        <f>IF((EOMONTH(Inputs!$B41,0)+1)&lt;=AE$5,(Inputs!$D41*1),0)</f>
        <v>0</v>
      </c>
      <c r="AF18" s="585">
        <f>IF((EOMONTH(Inputs!$B41,0)+1)&lt;=AF$5,(Inputs!$D41*1),0)</f>
        <v>0</v>
      </c>
      <c r="AG18" s="585">
        <f>IF((EOMONTH(Inputs!$B41,0)+1)&lt;=AG$5,(Inputs!$D41*1),0)</f>
        <v>0</v>
      </c>
      <c r="AH18" s="585">
        <f>IF((EOMONTH(Inputs!$B41,0)+1)&lt;=AH$5,(Inputs!$D41*1),0)</f>
        <v>0</v>
      </c>
      <c r="AI18" s="585">
        <f>IF((EOMONTH(Inputs!$B41,0)+1)&lt;=AI$5,(Inputs!$D41*1),0)</f>
        <v>0</v>
      </c>
      <c r="AJ18" s="585">
        <f>IF((EOMONTH(Inputs!$B41,0)+1)&lt;=AJ$5,(Inputs!$D41*1),0)</f>
        <v>0</v>
      </c>
      <c r="AK18" s="585">
        <f>IF((EOMONTH(Inputs!$B41,0)+1)&lt;=AK$5,(Inputs!$D41*1),0)</f>
        <v>0</v>
      </c>
      <c r="AL18" s="585">
        <f>IF((EOMONTH(Inputs!$B41,0)+1)&lt;=AL$5,(Inputs!$D41*1),0)</f>
        <v>0</v>
      </c>
      <c r="AM18" s="585">
        <f>IF((EOMONTH(Inputs!$B41,0)+1)&lt;=AM$5,(Inputs!$D41*1),0)</f>
        <v>0</v>
      </c>
      <c r="AN18" s="585">
        <f>IF((EOMONTH(Inputs!$B41,0)+1)&lt;=AN$5,(Inputs!$D41*1),0)</f>
        <v>0</v>
      </c>
      <c r="AO18" s="585">
        <f>IF((EOMONTH(Inputs!$B41,0)+1)&lt;=AO$5,(Inputs!$D41*1),0)</f>
        <v>0</v>
      </c>
    </row>
    <row r="19" spans="1:46" x14ac:dyDescent="0.2">
      <c r="B19" s="49" t="s">
        <v>335</v>
      </c>
      <c r="C19" s="582">
        <f t="shared" si="2"/>
        <v>0</v>
      </c>
      <c r="D19" s="583">
        <f t="shared" si="3"/>
        <v>0</v>
      </c>
      <c r="E19" s="584">
        <f t="shared" si="4"/>
        <v>0</v>
      </c>
      <c r="F19" s="585">
        <f>IF((EOMONTH(Inputs!$B42,0)+1)&lt;=F$5,(Inputs!$D42*1),0)</f>
        <v>0</v>
      </c>
      <c r="G19" s="585">
        <f>IF((EOMONTH(Inputs!$B42,0)+1)&lt;=G$5,(Inputs!$D42*1),0)</f>
        <v>0</v>
      </c>
      <c r="H19" s="585">
        <f>IF((EOMONTH(Inputs!$B42,0)+1)&lt;=H$5,(Inputs!$D42*1),0)</f>
        <v>0</v>
      </c>
      <c r="I19" s="585">
        <f>IF((EOMONTH(Inputs!$B42,0)+1)&lt;=I$5,(Inputs!$D42*1),0)</f>
        <v>0</v>
      </c>
      <c r="J19" s="585">
        <f>IF((EOMONTH(Inputs!$B42,0)+1)&lt;=J$5,(Inputs!$D42*1),0)</f>
        <v>0</v>
      </c>
      <c r="K19" s="585">
        <f>IF((EOMONTH(Inputs!$B42,0)+1)&lt;=K$5,(Inputs!$D42*1),0)</f>
        <v>0</v>
      </c>
      <c r="L19" s="585">
        <f>IF((EOMONTH(Inputs!$B42,0)+1)&lt;=L$5,(Inputs!$D42*1),0)</f>
        <v>0</v>
      </c>
      <c r="M19" s="585">
        <f>IF((EOMONTH(Inputs!$B42,0)+1)&lt;=M$5,(Inputs!$D42*1),0)</f>
        <v>0</v>
      </c>
      <c r="N19" s="585">
        <f>IF((EOMONTH(Inputs!$B42,0)+1)&lt;=N$5,(Inputs!$D42*1),0)</f>
        <v>0</v>
      </c>
      <c r="O19" s="585">
        <f>IF((EOMONTH(Inputs!$B42,0)+1)&lt;=O$5,(Inputs!$D42*1),0)</f>
        <v>0</v>
      </c>
      <c r="P19" s="585">
        <f>IF((EOMONTH(Inputs!$B42,0)+1)&lt;=P$5,(Inputs!$D42*1),0)</f>
        <v>0</v>
      </c>
      <c r="Q19" s="585">
        <f>IF((EOMONTH(Inputs!$B42,0)+1)&lt;=Q$5,(Inputs!$D42*1),0)</f>
        <v>0</v>
      </c>
      <c r="R19" s="585">
        <f>IF((EOMONTH(Inputs!$B42,0)+1)&lt;=R$5,(Inputs!$D42*1),0)</f>
        <v>0</v>
      </c>
      <c r="S19" s="585">
        <f>IF((EOMONTH(Inputs!$B42,0)+1)&lt;=S$5,(Inputs!$D42*1),0)</f>
        <v>0</v>
      </c>
      <c r="T19" s="585">
        <f>IF((EOMONTH(Inputs!$B42,0)+1)&lt;=T$5,(Inputs!$D42*1),0)</f>
        <v>0</v>
      </c>
      <c r="U19" s="585">
        <f>IF((EOMONTH(Inputs!$B42,0)+1)&lt;=U$5,(Inputs!$D42*1),0)</f>
        <v>0</v>
      </c>
      <c r="V19" s="585">
        <f>IF((EOMONTH(Inputs!$B42,0)+1)&lt;=V$5,(Inputs!$D42*1),0)</f>
        <v>0</v>
      </c>
      <c r="W19" s="585">
        <f>IF((EOMONTH(Inputs!$B42,0)+1)&lt;=W$5,(Inputs!$D42*1),0)</f>
        <v>0</v>
      </c>
      <c r="X19" s="585">
        <f>IF((EOMONTH(Inputs!$B42,0)+1)&lt;=X$5,(Inputs!$D42*1),0)</f>
        <v>0</v>
      </c>
      <c r="Y19" s="585">
        <f>IF((EOMONTH(Inputs!$B42,0)+1)&lt;=Y$5,(Inputs!$D42*1),0)</f>
        <v>0</v>
      </c>
      <c r="Z19" s="585">
        <f>IF((EOMONTH(Inputs!$B42,0)+1)&lt;=Z$5,(Inputs!$D42*1),0)</f>
        <v>0</v>
      </c>
      <c r="AA19" s="585">
        <f>IF((EOMONTH(Inputs!$B42,0)+1)&lt;=AA$5,(Inputs!$D42*1),0)</f>
        <v>0</v>
      </c>
      <c r="AB19" s="585">
        <f>IF((EOMONTH(Inputs!$B42,0)+1)&lt;=AB$5,(Inputs!$D42*1),0)</f>
        <v>0</v>
      </c>
      <c r="AC19" s="585">
        <f>IF((EOMONTH(Inputs!$B42,0)+1)&lt;=AC$5,(Inputs!$D42*1),0)</f>
        <v>0</v>
      </c>
      <c r="AD19" s="585">
        <f>IF((EOMONTH(Inputs!$B42,0)+1)&lt;=AD$5,(Inputs!$D42*1),0)</f>
        <v>0</v>
      </c>
      <c r="AE19" s="585">
        <f>IF((EOMONTH(Inputs!$B42,0)+1)&lt;=AE$5,(Inputs!$D42*1),0)</f>
        <v>0</v>
      </c>
      <c r="AF19" s="585">
        <f>IF((EOMONTH(Inputs!$B42,0)+1)&lt;=AF$5,(Inputs!$D42*1),0)</f>
        <v>0</v>
      </c>
      <c r="AG19" s="585">
        <f>IF((EOMONTH(Inputs!$B42,0)+1)&lt;=AG$5,(Inputs!$D42*1),0)</f>
        <v>0</v>
      </c>
      <c r="AH19" s="585">
        <f>IF((EOMONTH(Inputs!$B42,0)+1)&lt;=AH$5,(Inputs!$D42*1),0)</f>
        <v>0</v>
      </c>
      <c r="AI19" s="585">
        <f>IF((EOMONTH(Inputs!$B42,0)+1)&lt;=AI$5,(Inputs!$D42*1),0)</f>
        <v>0</v>
      </c>
      <c r="AJ19" s="585">
        <f>IF((EOMONTH(Inputs!$B42,0)+1)&lt;=AJ$5,(Inputs!$D42*1),0)</f>
        <v>0</v>
      </c>
      <c r="AK19" s="585">
        <f>IF((EOMONTH(Inputs!$B42,0)+1)&lt;=AK$5,(Inputs!$D42*1),0)</f>
        <v>0</v>
      </c>
      <c r="AL19" s="585">
        <f>IF((EOMONTH(Inputs!$B42,0)+1)&lt;=AL$5,(Inputs!$D42*1),0)</f>
        <v>0</v>
      </c>
      <c r="AM19" s="585">
        <f>IF((EOMONTH(Inputs!$B42,0)+1)&lt;=AM$5,(Inputs!$D42*1),0)</f>
        <v>0</v>
      </c>
      <c r="AN19" s="585">
        <f>IF((EOMONTH(Inputs!$B42,0)+1)&lt;=AN$5,(Inputs!$D42*1),0)</f>
        <v>0</v>
      </c>
      <c r="AO19" s="585">
        <f>IF((EOMONTH(Inputs!$B42,0)+1)&lt;=AO$5,(Inputs!$D42*1),0)</f>
        <v>0</v>
      </c>
    </row>
    <row r="20" spans="1:46" x14ac:dyDescent="0.2">
      <c r="B20" s="49" t="s">
        <v>336</v>
      </c>
      <c r="C20" s="582">
        <f t="shared" si="2"/>
        <v>0</v>
      </c>
      <c r="D20" s="583">
        <f t="shared" si="3"/>
        <v>0</v>
      </c>
      <c r="E20" s="584">
        <f t="shared" si="4"/>
        <v>0</v>
      </c>
      <c r="F20" s="585">
        <f>IF((EOMONTH(Inputs!$B43,0)+1)&lt;=F$5,(Inputs!$D43*1),0)</f>
        <v>0</v>
      </c>
      <c r="G20" s="585">
        <f>IF((EOMONTH(Inputs!$B43,0)+1)&lt;=G$5,(Inputs!$D43*1),0)</f>
        <v>0</v>
      </c>
      <c r="H20" s="585">
        <f>IF((EOMONTH(Inputs!$B43,0)+1)&lt;=H$5,(Inputs!$D43*1),0)</f>
        <v>0</v>
      </c>
      <c r="I20" s="585">
        <f>IF((EOMONTH(Inputs!$B43,0)+1)&lt;=I$5,(Inputs!$D43*1),0)</f>
        <v>0</v>
      </c>
      <c r="J20" s="585">
        <f>IF((EOMONTH(Inputs!$B43,0)+1)&lt;=J$5,(Inputs!$D43*1),0)</f>
        <v>0</v>
      </c>
      <c r="K20" s="585">
        <f>IF((EOMONTH(Inputs!$B43,0)+1)&lt;=K$5,(Inputs!$D43*1),0)</f>
        <v>0</v>
      </c>
      <c r="L20" s="585">
        <f>IF((EOMONTH(Inputs!$B43,0)+1)&lt;=L$5,(Inputs!$D43*1),0)</f>
        <v>0</v>
      </c>
      <c r="M20" s="585">
        <f>IF((EOMONTH(Inputs!$B43,0)+1)&lt;=M$5,(Inputs!$D43*1),0)</f>
        <v>0</v>
      </c>
      <c r="N20" s="585">
        <f>IF((EOMONTH(Inputs!$B43,0)+1)&lt;=N$5,(Inputs!$D43*1),0)</f>
        <v>0</v>
      </c>
      <c r="O20" s="585">
        <f>IF((EOMONTH(Inputs!$B43,0)+1)&lt;=O$5,(Inputs!$D43*1),0)</f>
        <v>0</v>
      </c>
      <c r="P20" s="585">
        <f>IF((EOMONTH(Inputs!$B43,0)+1)&lt;=P$5,(Inputs!$D43*1),0)</f>
        <v>0</v>
      </c>
      <c r="Q20" s="585">
        <f>IF((EOMONTH(Inputs!$B43,0)+1)&lt;=Q$5,(Inputs!$D43*1),0)</f>
        <v>0</v>
      </c>
      <c r="R20" s="585">
        <f>IF((EOMONTH(Inputs!$B43,0)+1)&lt;=R$5,(Inputs!$D43*1),0)</f>
        <v>0</v>
      </c>
      <c r="S20" s="585">
        <f>IF((EOMONTH(Inputs!$B43,0)+1)&lt;=S$5,(Inputs!$D43*1),0)</f>
        <v>0</v>
      </c>
      <c r="T20" s="585">
        <f>IF((EOMONTH(Inputs!$B43,0)+1)&lt;=T$5,(Inputs!$D43*1),0)</f>
        <v>0</v>
      </c>
      <c r="U20" s="585">
        <f>IF((EOMONTH(Inputs!$B43,0)+1)&lt;=U$5,(Inputs!$D43*1),0)</f>
        <v>0</v>
      </c>
      <c r="V20" s="585">
        <f>IF((EOMONTH(Inputs!$B43,0)+1)&lt;=V$5,(Inputs!$D43*1),0)</f>
        <v>0</v>
      </c>
      <c r="W20" s="585">
        <f>IF((EOMONTH(Inputs!$B43,0)+1)&lt;=W$5,(Inputs!$D43*1),0)</f>
        <v>0</v>
      </c>
      <c r="X20" s="585">
        <f>IF((EOMONTH(Inputs!$B43,0)+1)&lt;=X$5,(Inputs!$D43*1),0)</f>
        <v>0</v>
      </c>
      <c r="Y20" s="585">
        <f>IF((EOMONTH(Inputs!$B43,0)+1)&lt;=Y$5,(Inputs!$D43*1),0)</f>
        <v>0</v>
      </c>
      <c r="Z20" s="585">
        <f>IF((EOMONTH(Inputs!$B43,0)+1)&lt;=Z$5,(Inputs!$D43*1),0)</f>
        <v>0</v>
      </c>
      <c r="AA20" s="585">
        <f>IF((EOMONTH(Inputs!$B43,0)+1)&lt;=AA$5,(Inputs!$D43*1),0)</f>
        <v>0</v>
      </c>
      <c r="AB20" s="585">
        <f>IF((EOMONTH(Inputs!$B43,0)+1)&lt;=AB$5,(Inputs!$D43*1),0)</f>
        <v>0</v>
      </c>
      <c r="AC20" s="585">
        <f>IF((EOMONTH(Inputs!$B43,0)+1)&lt;=AC$5,(Inputs!$D43*1),0)</f>
        <v>0</v>
      </c>
      <c r="AD20" s="585">
        <f>IF((EOMONTH(Inputs!$B43,0)+1)&lt;=AD$5,(Inputs!$D43*1),0)</f>
        <v>0</v>
      </c>
      <c r="AE20" s="585">
        <f>IF((EOMONTH(Inputs!$B43,0)+1)&lt;=AE$5,(Inputs!$D43*1),0)</f>
        <v>0</v>
      </c>
      <c r="AF20" s="585">
        <f>IF((EOMONTH(Inputs!$B43,0)+1)&lt;=AF$5,(Inputs!$D43*1),0)</f>
        <v>0</v>
      </c>
      <c r="AG20" s="585">
        <f>IF((EOMONTH(Inputs!$B43,0)+1)&lt;=AG$5,(Inputs!$D43*1),0)</f>
        <v>0</v>
      </c>
      <c r="AH20" s="585">
        <f>IF((EOMONTH(Inputs!$B43,0)+1)&lt;=AH$5,(Inputs!$D43*1),0)</f>
        <v>0</v>
      </c>
      <c r="AI20" s="585">
        <f>IF((EOMONTH(Inputs!$B43,0)+1)&lt;=AI$5,(Inputs!$D43*1),0)</f>
        <v>0</v>
      </c>
      <c r="AJ20" s="585">
        <f>IF((EOMONTH(Inputs!$B43,0)+1)&lt;=AJ$5,(Inputs!$D43*1),0)</f>
        <v>0</v>
      </c>
      <c r="AK20" s="585">
        <f>IF((EOMONTH(Inputs!$B43,0)+1)&lt;=AK$5,(Inputs!$D43*1),0)</f>
        <v>0</v>
      </c>
      <c r="AL20" s="585">
        <f>IF((EOMONTH(Inputs!$B43,0)+1)&lt;=AL$5,(Inputs!$D43*1),0)</f>
        <v>0</v>
      </c>
      <c r="AM20" s="585">
        <f>IF((EOMONTH(Inputs!$B43,0)+1)&lt;=AM$5,(Inputs!$D43*1),0)</f>
        <v>0</v>
      </c>
      <c r="AN20" s="585">
        <f>IF((EOMONTH(Inputs!$B43,0)+1)&lt;=AN$5,(Inputs!$D43*1),0)</f>
        <v>0</v>
      </c>
      <c r="AO20" s="585">
        <f>IF((EOMONTH(Inputs!$B43,0)+1)&lt;=AO$5,(Inputs!$D43*1),0)</f>
        <v>0</v>
      </c>
    </row>
    <row r="21" spans="1:46" x14ac:dyDescent="0.2">
      <c r="B21" s="49" t="s">
        <v>337</v>
      </c>
      <c r="C21" s="582">
        <f t="shared" si="2"/>
        <v>0</v>
      </c>
      <c r="D21" s="583">
        <f t="shared" si="3"/>
        <v>0</v>
      </c>
      <c r="E21" s="584">
        <f t="shared" si="4"/>
        <v>0</v>
      </c>
      <c r="F21" s="585">
        <f>IF((EOMONTH(Inputs!$B44,0)+1)&lt;=F$5,(Inputs!$D44*1),0)</f>
        <v>0</v>
      </c>
      <c r="G21" s="585">
        <f>IF((EOMONTH(Inputs!$B44,0)+1)&lt;=G$5,(Inputs!$D44*1),0)</f>
        <v>0</v>
      </c>
      <c r="H21" s="585">
        <f>IF((EOMONTH(Inputs!$B44,0)+1)&lt;=H$5,(Inputs!$D44*1),0)</f>
        <v>0</v>
      </c>
      <c r="I21" s="585">
        <f>IF((EOMONTH(Inputs!$B44,0)+1)&lt;=I$5,(Inputs!$D44*1),0)</f>
        <v>0</v>
      </c>
      <c r="J21" s="585">
        <f>IF((EOMONTH(Inputs!$B44,0)+1)&lt;=J$5,(Inputs!$D44*1),0)</f>
        <v>0</v>
      </c>
      <c r="K21" s="585">
        <f>IF((EOMONTH(Inputs!$B44,0)+1)&lt;=K$5,(Inputs!$D44*1),0)</f>
        <v>0</v>
      </c>
      <c r="L21" s="585">
        <f>IF((EOMONTH(Inputs!$B44,0)+1)&lt;=L$5,(Inputs!$D44*1),0)</f>
        <v>0</v>
      </c>
      <c r="M21" s="585">
        <f>IF((EOMONTH(Inputs!$B44,0)+1)&lt;=M$5,(Inputs!$D44*1),0)</f>
        <v>0</v>
      </c>
      <c r="N21" s="585">
        <f>IF((EOMONTH(Inputs!$B44,0)+1)&lt;=N$5,(Inputs!$D44*1),0)</f>
        <v>0</v>
      </c>
      <c r="O21" s="585">
        <f>IF((EOMONTH(Inputs!$B44,0)+1)&lt;=O$5,(Inputs!$D44*1),0)</f>
        <v>0</v>
      </c>
      <c r="P21" s="585">
        <f>IF((EOMONTH(Inputs!$B44,0)+1)&lt;=P$5,(Inputs!$D44*1),0)</f>
        <v>0</v>
      </c>
      <c r="Q21" s="585">
        <f>IF((EOMONTH(Inputs!$B44,0)+1)&lt;=Q$5,(Inputs!$D44*1),0)</f>
        <v>0</v>
      </c>
      <c r="R21" s="585">
        <f>IF((EOMONTH(Inputs!$B44,0)+1)&lt;=R$5,(Inputs!$D44*1),0)</f>
        <v>0</v>
      </c>
      <c r="S21" s="585">
        <f>IF((EOMONTH(Inputs!$B44,0)+1)&lt;=S$5,(Inputs!$D44*1),0)</f>
        <v>0</v>
      </c>
      <c r="T21" s="585">
        <f>IF((EOMONTH(Inputs!$B44,0)+1)&lt;=T$5,(Inputs!$D44*1),0)</f>
        <v>0</v>
      </c>
      <c r="U21" s="585">
        <f>IF((EOMONTH(Inputs!$B44,0)+1)&lt;=U$5,(Inputs!$D44*1),0)</f>
        <v>0</v>
      </c>
      <c r="V21" s="585">
        <f>IF((EOMONTH(Inputs!$B44,0)+1)&lt;=V$5,(Inputs!$D44*1),0)</f>
        <v>0</v>
      </c>
      <c r="W21" s="585">
        <f>IF((EOMONTH(Inputs!$B44,0)+1)&lt;=W$5,(Inputs!$D44*1),0)</f>
        <v>0</v>
      </c>
      <c r="X21" s="585">
        <f>IF((EOMONTH(Inputs!$B44,0)+1)&lt;=X$5,(Inputs!$D44*1),0)</f>
        <v>0</v>
      </c>
      <c r="Y21" s="585">
        <f>IF((EOMONTH(Inputs!$B44,0)+1)&lt;=Y$5,(Inputs!$D44*1),0)</f>
        <v>0</v>
      </c>
      <c r="Z21" s="585">
        <f>IF((EOMONTH(Inputs!$B44,0)+1)&lt;=Z$5,(Inputs!$D44*1),0)</f>
        <v>0</v>
      </c>
      <c r="AA21" s="585">
        <f>IF((EOMONTH(Inputs!$B44,0)+1)&lt;=AA$5,(Inputs!$D44*1),0)</f>
        <v>0</v>
      </c>
      <c r="AB21" s="585">
        <f>IF((EOMONTH(Inputs!$B44,0)+1)&lt;=AB$5,(Inputs!$D44*1),0)</f>
        <v>0</v>
      </c>
      <c r="AC21" s="585">
        <f>IF((EOMONTH(Inputs!$B44,0)+1)&lt;=AC$5,(Inputs!$D44*1),0)</f>
        <v>0</v>
      </c>
      <c r="AD21" s="585">
        <f>IF((EOMONTH(Inputs!$B44,0)+1)&lt;=AD$5,(Inputs!$D44*1),0)</f>
        <v>0</v>
      </c>
      <c r="AE21" s="585">
        <f>IF((EOMONTH(Inputs!$B44,0)+1)&lt;=AE$5,(Inputs!$D44*1),0)</f>
        <v>0</v>
      </c>
      <c r="AF21" s="585">
        <f>IF((EOMONTH(Inputs!$B44,0)+1)&lt;=AF$5,(Inputs!$D44*1),0)</f>
        <v>0</v>
      </c>
      <c r="AG21" s="585">
        <f>IF((EOMONTH(Inputs!$B44,0)+1)&lt;=AG$5,(Inputs!$D44*1),0)</f>
        <v>0</v>
      </c>
      <c r="AH21" s="585">
        <f>IF((EOMONTH(Inputs!$B44,0)+1)&lt;=AH$5,(Inputs!$D44*1),0)</f>
        <v>0</v>
      </c>
      <c r="AI21" s="585">
        <f>IF((EOMONTH(Inputs!$B44,0)+1)&lt;=AI$5,(Inputs!$D44*1),0)</f>
        <v>0</v>
      </c>
      <c r="AJ21" s="585">
        <f>IF((EOMONTH(Inputs!$B44,0)+1)&lt;=AJ$5,(Inputs!$D44*1),0)</f>
        <v>0</v>
      </c>
      <c r="AK21" s="585">
        <f>IF((EOMONTH(Inputs!$B44,0)+1)&lt;=AK$5,(Inputs!$D44*1),0)</f>
        <v>0</v>
      </c>
      <c r="AL21" s="585">
        <f>IF((EOMONTH(Inputs!$B44,0)+1)&lt;=AL$5,(Inputs!$D44*1),0)</f>
        <v>0</v>
      </c>
      <c r="AM21" s="585">
        <f>IF((EOMONTH(Inputs!$B44,0)+1)&lt;=AM$5,(Inputs!$D44*1),0)</f>
        <v>0</v>
      </c>
      <c r="AN21" s="585">
        <f>IF((EOMONTH(Inputs!$B44,0)+1)&lt;=AN$5,(Inputs!$D44*1),0)</f>
        <v>0</v>
      </c>
      <c r="AO21" s="585">
        <f>IF((EOMONTH(Inputs!$B44,0)+1)&lt;=AO$5,(Inputs!$D44*1),0)</f>
        <v>0</v>
      </c>
    </row>
    <row r="22" spans="1:46" x14ac:dyDescent="0.2">
      <c r="A22" s="113" t="s">
        <v>338</v>
      </c>
      <c r="C22" s="586">
        <f t="shared" ref="C22:E22" si="5">SUM(C6:C21)</f>
        <v>0</v>
      </c>
      <c r="D22" s="436">
        <f t="shared" si="5"/>
        <v>0</v>
      </c>
      <c r="E22" s="587">
        <f t="shared" si="5"/>
        <v>0</v>
      </c>
      <c r="F22" s="436">
        <f>SUM(F6:F21)</f>
        <v>0</v>
      </c>
      <c r="G22" s="436">
        <f t="shared" ref="G22:AO22" si="6">SUM(G6:G21)</f>
        <v>0</v>
      </c>
      <c r="H22" s="436">
        <f t="shared" si="6"/>
        <v>0</v>
      </c>
      <c r="I22" s="436">
        <f t="shared" si="6"/>
        <v>0</v>
      </c>
      <c r="J22" s="436">
        <f t="shared" si="6"/>
        <v>0</v>
      </c>
      <c r="K22" s="436">
        <f t="shared" si="6"/>
        <v>0</v>
      </c>
      <c r="L22" s="436">
        <f t="shared" si="6"/>
        <v>0</v>
      </c>
      <c r="M22" s="436">
        <f t="shared" si="6"/>
        <v>0</v>
      </c>
      <c r="N22" s="436">
        <f t="shared" si="6"/>
        <v>0</v>
      </c>
      <c r="O22" s="436">
        <f t="shared" si="6"/>
        <v>0</v>
      </c>
      <c r="P22" s="436">
        <f t="shared" si="6"/>
        <v>0</v>
      </c>
      <c r="Q22" s="436">
        <f t="shared" si="6"/>
        <v>0</v>
      </c>
      <c r="R22" s="436">
        <f t="shared" si="6"/>
        <v>0</v>
      </c>
      <c r="S22" s="436">
        <f t="shared" si="6"/>
        <v>0</v>
      </c>
      <c r="T22" s="436">
        <f t="shared" si="6"/>
        <v>0</v>
      </c>
      <c r="U22" s="436">
        <f t="shared" si="6"/>
        <v>0</v>
      </c>
      <c r="V22" s="436">
        <f t="shared" si="6"/>
        <v>0</v>
      </c>
      <c r="W22" s="436">
        <f t="shared" si="6"/>
        <v>0</v>
      </c>
      <c r="X22" s="436">
        <f t="shared" si="6"/>
        <v>0</v>
      </c>
      <c r="Y22" s="436">
        <f t="shared" si="6"/>
        <v>0</v>
      </c>
      <c r="Z22" s="436">
        <f t="shared" si="6"/>
        <v>0</v>
      </c>
      <c r="AA22" s="436">
        <f t="shared" si="6"/>
        <v>0</v>
      </c>
      <c r="AB22" s="436">
        <f t="shared" si="6"/>
        <v>0</v>
      </c>
      <c r="AC22" s="436">
        <f t="shared" si="6"/>
        <v>0</v>
      </c>
      <c r="AD22" s="436">
        <f t="shared" si="6"/>
        <v>0</v>
      </c>
      <c r="AE22" s="436">
        <f t="shared" si="6"/>
        <v>0</v>
      </c>
      <c r="AF22" s="436">
        <f t="shared" si="6"/>
        <v>0</v>
      </c>
      <c r="AG22" s="436">
        <f t="shared" si="6"/>
        <v>0</v>
      </c>
      <c r="AH22" s="436">
        <f t="shared" si="6"/>
        <v>0</v>
      </c>
      <c r="AI22" s="436">
        <f t="shared" si="6"/>
        <v>0</v>
      </c>
      <c r="AJ22" s="436">
        <f t="shared" si="6"/>
        <v>0</v>
      </c>
      <c r="AK22" s="436">
        <f t="shared" si="6"/>
        <v>0</v>
      </c>
      <c r="AL22" s="436">
        <f t="shared" si="6"/>
        <v>0</v>
      </c>
      <c r="AM22" s="436">
        <f t="shared" si="6"/>
        <v>0</v>
      </c>
      <c r="AN22" s="436">
        <f t="shared" si="6"/>
        <v>0</v>
      </c>
      <c r="AO22" s="436">
        <f t="shared" si="6"/>
        <v>0</v>
      </c>
    </row>
    <row r="23" spans="1:46" x14ac:dyDescent="0.2">
      <c r="A23" s="49" t="s">
        <v>339</v>
      </c>
      <c r="C23" s="588"/>
      <c r="E23" s="589"/>
      <c r="F23" s="435">
        <f>F22-B22</f>
        <v>0</v>
      </c>
      <c r="G23" s="435">
        <f t="shared" ref="G23:I23" si="7">G22-F22</f>
        <v>0</v>
      </c>
      <c r="H23" s="435">
        <f t="shared" si="7"/>
        <v>0</v>
      </c>
      <c r="I23" s="435">
        <f t="shared" si="7"/>
        <v>0</v>
      </c>
      <c r="J23" s="435">
        <f>J22-I22</f>
        <v>0</v>
      </c>
      <c r="K23" s="435">
        <f t="shared" ref="K23:AO23" si="8">K22-J22</f>
        <v>0</v>
      </c>
      <c r="L23" s="435">
        <f t="shared" si="8"/>
        <v>0</v>
      </c>
      <c r="M23" s="435">
        <f t="shared" si="8"/>
        <v>0</v>
      </c>
      <c r="N23" s="435">
        <f t="shared" si="8"/>
        <v>0</v>
      </c>
      <c r="O23" s="435">
        <f t="shared" si="8"/>
        <v>0</v>
      </c>
      <c r="P23" s="435">
        <f t="shared" si="8"/>
        <v>0</v>
      </c>
      <c r="Q23" s="435">
        <f t="shared" si="8"/>
        <v>0</v>
      </c>
      <c r="R23" s="435">
        <f t="shared" si="8"/>
        <v>0</v>
      </c>
      <c r="S23" s="435">
        <f t="shared" si="8"/>
        <v>0</v>
      </c>
      <c r="T23" s="435">
        <f t="shared" si="8"/>
        <v>0</v>
      </c>
      <c r="U23" s="435">
        <f t="shared" si="8"/>
        <v>0</v>
      </c>
      <c r="V23" s="435">
        <f t="shared" si="8"/>
        <v>0</v>
      </c>
      <c r="W23" s="435">
        <f t="shared" si="8"/>
        <v>0</v>
      </c>
      <c r="X23" s="435">
        <f t="shared" si="8"/>
        <v>0</v>
      </c>
      <c r="Y23" s="435">
        <f t="shared" si="8"/>
        <v>0</v>
      </c>
      <c r="Z23" s="435">
        <f t="shared" si="8"/>
        <v>0</v>
      </c>
      <c r="AA23" s="435">
        <f t="shared" si="8"/>
        <v>0</v>
      </c>
      <c r="AB23" s="435">
        <f t="shared" si="8"/>
        <v>0</v>
      </c>
      <c r="AC23" s="435">
        <f t="shared" si="8"/>
        <v>0</v>
      </c>
      <c r="AD23" s="435">
        <f t="shared" si="8"/>
        <v>0</v>
      </c>
      <c r="AE23" s="435">
        <f t="shared" si="8"/>
        <v>0</v>
      </c>
      <c r="AF23" s="435">
        <f t="shared" si="8"/>
        <v>0</v>
      </c>
      <c r="AG23" s="435">
        <f t="shared" si="8"/>
        <v>0</v>
      </c>
      <c r="AH23" s="435">
        <f t="shared" si="8"/>
        <v>0</v>
      </c>
      <c r="AI23" s="435">
        <f t="shared" si="8"/>
        <v>0</v>
      </c>
      <c r="AJ23" s="435">
        <f t="shared" si="8"/>
        <v>0</v>
      </c>
      <c r="AK23" s="435">
        <f t="shared" si="8"/>
        <v>0</v>
      </c>
      <c r="AL23" s="435">
        <f t="shared" si="8"/>
        <v>0</v>
      </c>
      <c r="AM23" s="435">
        <f t="shared" si="8"/>
        <v>0</v>
      </c>
      <c r="AN23" s="435">
        <f t="shared" si="8"/>
        <v>0</v>
      </c>
      <c r="AO23" s="435">
        <f t="shared" si="8"/>
        <v>0</v>
      </c>
    </row>
    <row r="24" spans="1:46" x14ac:dyDescent="0.2">
      <c r="C24" s="588"/>
      <c r="E24" s="589"/>
    </row>
    <row r="25" spans="1:46" x14ac:dyDescent="0.2">
      <c r="A25" s="590" t="s">
        <v>223</v>
      </c>
      <c r="C25" s="588"/>
      <c r="E25" s="589"/>
      <c r="G25" s="591">
        <f>Inputs!B136</f>
        <v>25</v>
      </c>
    </row>
    <row r="26" spans="1:46" x14ac:dyDescent="0.2">
      <c r="A26" s="590" t="s">
        <v>224</v>
      </c>
      <c r="C26" s="588"/>
      <c r="E26" s="589"/>
      <c r="G26" s="591">
        <f>Inputs!B137</f>
        <v>9</v>
      </c>
    </row>
    <row r="27" spans="1:46" x14ac:dyDescent="0.2">
      <c r="A27" s="590" t="s">
        <v>225</v>
      </c>
      <c r="C27" s="588"/>
      <c r="E27" s="589"/>
      <c r="G27" s="592">
        <f>Inputs!B138</f>
        <v>0.06</v>
      </c>
    </row>
    <row r="28" spans="1:46" x14ac:dyDescent="0.2">
      <c r="C28" s="588"/>
      <c r="E28" s="589"/>
    </row>
    <row r="29" spans="1:46" x14ac:dyDescent="0.2">
      <c r="C29" s="588"/>
      <c r="E29" s="589"/>
      <c r="J29" s="322"/>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row>
    <row r="30" spans="1:46" x14ac:dyDescent="0.2">
      <c r="A30" s="593"/>
      <c r="B30" s="593"/>
      <c r="C30" s="594"/>
      <c r="D30" s="593"/>
      <c r="E30" s="595"/>
      <c r="F30" s="596" t="s">
        <v>340</v>
      </c>
      <c r="G30" s="593"/>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M30" s="593"/>
      <c r="AN30" s="593"/>
      <c r="AO30" s="593"/>
      <c r="AP30" s="435"/>
      <c r="AQ30" s="435"/>
      <c r="AR30" s="435"/>
      <c r="AS30" s="435"/>
      <c r="AT30" s="435"/>
    </row>
    <row r="31" spans="1:46" x14ac:dyDescent="0.2">
      <c r="A31" s="593"/>
      <c r="B31" s="593"/>
      <c r="C31" s="594"/>
      <c r="D31" s="593"/>
      <c r="E31" s="595"/>
      <c r="F31" s="597">
        <v>1</v>
      </c>
      <c r="G31" s="597">
        <f>+F31+1</f>
        <v>2</v>
      </c>
      <c r="H31" s="597">
        <f t="shared" ref="H31:AO31" si="9">+G31+1</f>
        <v>3</v>
      </c>
      <c r="I31" s="597">
        <f t="shared" si="9"/>
        <v>4</v>
      </c>
      <c r="J31" s="597">
        <f t="shared" si="9"/>
        <v>5</v>
      </c>
      <c r="K31" s="597">
        <f t="shared" si="9"/>
        <v>6</v>
      </c>
      <c r="L31" s="597">
        <f t="shared" si="9"/>
        <v>7</v>
      </c>
      <c r="M31" s="597">
        <f t="shared" si="9"/>
        <v>8</v>
      </c>
      <c r="N31" s="597">
        <f t="shared" si="9"/>
        <v>9</v>
      </c>
      <c r="O31" s="597">
        <f t="shared" si="9"/>
        <v>10</v>
      </c>
      <c r="P31" s="597">
        <f t="shared" si="9"/>
        <v>11</v>
      </c>
      <c r="Q31" s="597">
        <f t="shared" si="9"/>
        <v>12</v>
      </c>
      <c r="R31" s="597">
        <f t="shared" si="9"/>
        <v>13</v>
      </c>
      <c r="S31" s="597">
        <f t="shared" si="9"/>
        <v>14</v>
      </c>
      <c r="T31" s="597">
        <f t="shared" si="9"/>
        <v>15</v>
      </c>
      <c r="U31" s="597">
        <f t="shared" si="9"/>
        <v>16</v>
      </c>
      <c r="V31" s="597">
        <f t="shared" si="9"/>
        <v>17</v>
      </c>
      <c r="W31" s="597">
        <f t="shared" si="9"/>
        <v>18</v>
      </c>
      <c r="X31" s="597">
        <f t="shared" si="9"/>
        <v>19</v>
      </c>
      <c r="Y31" s="597">
        <f t="shared" si="9"/>
        <v>20</v>
      </c>
      <c r="Z31" s="597">
        <f t="shared" si="9"/>
        <v>21</v>
      </c>
      <c r="AA31" s="597">
        <f t="shared" si="9"/>
        <v>22</v>
      </c>
      <c r="AB31" s="597">
        <f t="shared" si="9"/>
        <v>23</v>
      </c>
      <c r="AC31" s="597">
        <f t="shared" si="9"/>
        <v>24</v>
      </c>
      <c r="AD31" s="597">
        <f t="shared" si="9"/>
        <v>25</v>
      </c>
      <c r="AE31" s="597">
        <f t="shared" si="9"/>
        <v>26</v>
      </c>
      <c r="AF31" s="597">
        <f t="shared" si="9"/>
        <v>27</v>
      </c>
      <c r="AG31" s="597">
        <f t="shared" si="9"/>
        <v>28</v>
      </c>
      <c r="AH31" s="597">
        <f t="shared" si="9"/>
        <v>29</v>
      </c>
      <c r="AI31" s="597">
        <f t="shared" si="9"/>
        <v>30</v>
      </c>
      <c r="AJ31" s="597">
        <f t="shared" si="9"/>
        <v>31</v>
      </c>
      <c r="AK31" s="597">
        <f t="shared" si="9"/>
        <v>32</v>
      </c>
      <c r="AL31" s="597">
        <f t="shared" si="9"/>
        <v>33</v>
      </c>
      <c r="AM31" s="597">
        <f t="shared" si="9"/>
        <v>34</v>
      </c>
      <c r="AN31" s="597">
        <f t="shared" si="9"/>
        <v>35</v>
      </c>
      <c r="AO31" s="597">
        <f t="shared" si="9"/>
        <v>36</v>
      </c>
      <c r="AP31" s="435"/>
      <c r="AQ31" s="435"/>
      <c r="AR31" s="435"/>
      <c r="AS31" s="435"/>
      <c r="AT31" s="435"/>
    </row>
    <row r="32" spans="1:46" x14ac:dyDescent="0.2">
      <c r="A32" s="593"/>
      <c r="B32" s="598" t="s">
        <v>341</v>
      </c>
      <c r="C32" s="599"/>
      <c r="D32" s="598"/>
      <c r="E32" s="600"/>
      <c r="F32" s="601">
        <f>IF(F31&lt;=$G26,($G$25/$G$26),0)</f>
        <v>2.7777777777777777</v>
      </c>
      <c r="G32" s="601">
        <f>IF(G31&lt;=$G26,($G$25/$G$26),0)</f>
        <v>2.7777777777777777</v>
      </c>
      <c r="H32" s="601">
        <f t="shared" ref="H32:AD32" si="10">IF(H31&lt;=$G26,($G$25/$G$26),0)</f>
        <v>2.7777777777777777</v>
      </c>
      <c r="I32" s="601">
        <f t="shared" si="10"/>
        <v>2.7777777777777777</v>
      </c>
      <c r="J32" s="601">
        <f t="shared" si="10"/>
        <v>2.7777777777777777</v>
      </c>
      <c r="K32" s="601">
        <f t="shared" si="10"/>
        <v>2.7777777777777777</v>
      </c>
      <c r="L32" s="601">
        <f t="shared" si="10"/>
        <v>2.7777777777777777</v>
      </c>
      <c r="M32" s="601">
        <f t="shared" si="10"/>
        <v>2.7777777777777777</v>
      </c>
      <c r="N32" s="601">
        <f t="shared" si="10"/>
        <v>2.7777777777777777</v>
      </c>
      <c r="O32" s="601">
        <f t="shared" si="10"/>
        <v>0</v>
      </c>
      <c r="P32" s="601">
        <f t="shared" si="10"/>
        <v>0</v>
      </c>
      <c r="Q32" s="601">
        <f t="shared" si="10"/>
        <v>0</v>
      </c>
      <c r="R32" s="601">
        <f t="shared" si="10"/>
        <v>0</v>
      </c>
      <c r="S32" s="601">
        <f t="shared" si="10"/>
        <v>0</v>
      </c>
      <c r="T32" s="601">
        <f t="shared" si="10"/>
        <v>0</v>
      </c>
      <c r="U32" s="601">
        <f t="shared" si="10"/>
        <v>0</v>
      </c>
      <c r="V32" s="601">
        <f t="shared" si="10"/>
        <v>0</v>
      </c>
      <c r="W32" s="601">
        <f t="shared" si="10"/>
        <v>0</v>
      </c>
      <c r="X32" s="601">
        <f t="shared" si="10"/>
        <v>0</v>
      </c>
      <c r="Y32" s="601">
        <f t="shared" si="10"/>
        <v>0</v>
      </c>
      <c r="Z32" s="601">
        <f t="shared" si="10"/>
        <v>0</v>
      </c>
      <c r="AA32" s="601">
        <f t="shared" si="10"/>
        <v>0</v>
      </c>
      <c r="AB32" s="601">
        <f t="shared" si="10"/>
        <v>0</v>
      </c>
      <c r="AC32" s="601">
        <f t="shared" si="10"/>
        <v>0</v>
      </c>
      <c r="AD32" s="601">
        <f t="shared" si="10"/>
        <v>0</v>
      </c>
      <c r="AE32" s="601">
        <f>IF(AE31&lt;=$G26,($G$25/$G$26),0)</f>
        <v>0</v>
      </c>
      <c r="AF32" s="601">
        <f t="shared" ref="AF32:AO32" si="11">IF(AF31&lt;=$G26,($G$25/$G$26),0)</f>
        <v>0</v>
      </c>
      <c r="AG32" s="601">
        <f t="shared" si="11"/>
        <v>0</v>
      </c>
      <c r="AH32" s="601">
        <f t="shared" si="11"/>
        <v>0</v>
      </c>
      <c r="AI32" s="601">
        <f t="shared" si="11"/>
        <v>0</v>
      </c>
      <c r="AJ32" s="601">
        <f t="shared" si="11"/>
        <v>0</v>
      </c>
      <c r="AK32" s="601">
        <f t="shared" si="11"/>
        <v>0</v>
      </c>
      <c r="AL32" s="601">
        <f t="shared" si="11"/>
        <v>0</v>
      </c>
      <c r="AM32" s="601">
        <f t="shared" si="11"/>
        <v>0</v>
      </c>
      <c r="AN32" s="601">
        <f t="shared" si="11"/>
        <v>0</v>
      </c>
      <c r="AO32" s="601">
        <f t="shared" si="11"/>
        <v>0</v>
      </c>
      <c r="AP32" s="435"/>
      <c r="AQ32" s="435"/>
      <c r="AR32" s="435"/>
      <c r="AS32" s="435"/>
      <c r="AT32" s="435"/>
    </row>
    <row r="33" spans="1:46" x14ac:dyDescent="0.2">
      <c r="A33" s="593"/>
      <c r="B33" s="598" t="s">
        <v>342</v>
      </c>
      <c r="C33" s="599"/>
      <c r="D33" s="598"/>
      <c r="E33" s="600"/>
      <c r="F33" s="602">
        <f>SUM($F32:F32)</f>
        <v>2.7777777777777777</v>
      </c>
      <c r="G33" s="602">
        <f>SUM($F32:G32)</f>
        <v>5.5555555555555554</v>
      </c>
      <c r="H33" s="602">
        <f>SUM($F32:H32)</f>
        <v>8.3333333333333321</v>
      </c>
      <c r="I33" s="602">
        <f>SUM($F32:I32)</f>
        <v>11.111111111111111</v>
      </c>
      <c r="J33" s="602">
        <f>SUM($F32:J32)</f>
        <v>13.888888888888889</v>
      </c>
      <c r="K33" s="602">
        <f>SUM($F32:K32)</f>
        <v>16.666666666666668</v>
      </c>
      <c r="L33" s="602">
        <f>SUM($F32:L32)</f>
        <v>19.444444444444446</v>
      </c>
      <c r="M33" s="602">
        <f>SUM($F32:M32)</f>
        <v>22.222222222222225</v>
      </c>
      <c r="N33" s="602">
        <f>SUM($F32:N32)</f>
        <v>25.000000000000004</v>
      </c>
      <c r="O33" s="602">
        <f>SUM($F32:O32)</f>
        <v>25.000000000000004</v>
      </c>
      <c r="P33" s="602">
        <f>SUM($F32:P32)</f>
        <v>25.000000000000004</v>
      </c>
      <c r="Q33" s="602">
        <f>SUM($F32:Q32)</f>
        <v>25.000000000000004</v>
      </c>
      <c r="R33" s="602">
        <f>SUM($F32:R32)</f>
        <v>25.000000000000004</v>
      </c>
      <c r="S33" s="602">
        <f>SUM($F32:S32)</f>
        <v>25.000000000000004</v>
      </c>
      <c r="T33" s="602">
        <f>SUM($F32:T32)</f>
        <v>25.000000000000004</v>
      </c>
      <c r="U33" s="602">
        <f>SUM($F32:U32)</f>
        <v>25.000000000000004</v>
      </c>
      <c r="V33" s="602">
        <f>SUM($F32:V32)</f>
        <v>25.000000000000004</v>
      </c>
      <c r="W33" s="602">
        <f>SUM($F32:W32)</f>
        <v>25.000000000000004</v>
      </c>
      <c r="X33" s="602">
        <f>SUM($F32:X32)</f>
        <v>25.000000000000004</v>
      </c>
      <c r="Y33" s="602">
        <f>SUM($F32:Y32)</f>
        <v>25.000000000000004</v>
      </c>
      <c r="Z33" s="602">
        <f>SUM($F32:Z32)</f>
        <v>25.000000000000004</v>
      </c>
      <c r="AA33" s="602">
        <f>SUM($F32:AA32)</f>
        <v>25.000000000000004</v>
      </c>
      <c r="AB33" s="602">
        <f>SUM($F32:AB32)</f>
        <v>25.000000000000004</v>
      </c>
      <c r="AC33" s="602">
        <f>SUM($F32:AC32)</f>
        <v>25.000000000000004</v>
      </c>
      <c r="AD33" s="602">
        <f>SUM($F32:AD32)</f>
        <v>25.000000000000004</v>
      </c>
      <c r="AE33" s="602">
        <f>SUM($F32:AE32)</f>
        <v>25.000000000000004</v>
      </c>
      <c r="AF33" s="602">
        <f>SUM($F32:AF32)</f>
        <v>25.000000000000004</v>
      </c>
      <c r="AG33" s="602">
        <f>SUM($F32:AG32)</f>
        <v>25.000000000000004</v>
      </c>
      <c r="AH33" s="602">
        <f>SUM($F32:AH32)</f>
        <v>25.000000000000004</v>
      </c>
      <c r="AI33" s="602">
        <f>SUM($F32:AI32)</f>
        <v>25.000000000000004</v>
      </c>
      <c r="AJ33" s="602">
        <f>SUM($F32:AJ32)</f>
        <v>25.000000000000004</v>
      </c>
      <c r="AK33" s="602">
        <f>SUM($F32:AK32)</f>
        <v>25.000000000000004</v>
      </c>
      <c r="AL33" s="602">
        <f>SUM($F32:AL32)</f>
        <v>25.000000000000004</v>
      </c>
      <c r="AM33" s="602">
        <f>SUM($F32:AM32)</f>
        <v>25.000000000000004</v>
      </c>
      <c r="AN33" s="602">
        <f>SUM($F32:AN32)</f>
        <v>25.000000000000004</v>
      </c>
      <c r="AO33" s="602">
        <f>SUM($F32:AO32)</f>
        <v>25.000000000000004</v>
      </c>
      <c r="AP33" s="435"/>
      <c r="AQ33" s="435"/>
      <c r="AR33" s="435"/>
      <c r="AS33" s="435"/>
      <c r="AT33" s="435"/>
    </row>
    <row r="34" spans="1:46" x14ac:dyDescent="0.2">
      <c r="B34" s="603" t="s">
        <v>318</v>
      </c>
      <c r="C34" s="604"/>
      <c r="D34" s="603"/>
      <c r="E34" s="605"/>
    </row>
    <row r="35" spans="1:46" x14ac:dyDescent="0.2">
      <c r="B35" s="571">
        <v>1</v>
      </c>
      <c r="C35" s="606">
        <f t="shared" ref="C35:C70" si="12">AVERAGE(F35:Q35)</f>
        <v>0</v>
      </c>
      <c r="D35" s="607">
        <f t="shared" ref="D35:D70" si="13">AVERAGE(R35:AC35)</f>
        <v>0</v>
      </c>
      <c r="E35" s="608">
        <f t="shared" ref="E35:E70" si="14">AVERAGE(AD35:AO35)</f>
        <v>0</v>
      </c>
      <c r="F35" s="316">
        <f t="shared" ref="F35:U50" si="15">(IF($B35&lt;=F$31,(HLOOKUP((F$31-$B35+1),$F$31:$AO$33,3,FALSE)),0))*HLOOKUP($B35,$F$4:$AO$23,20,FALSE)</f>
        <v>0</v>
      </c>
      <c r="G35" s="316">
        <f t="shared" si="15"/>
        <v>0</v>
      </c>
      <c r="H35" s="316">
        <f t="shared" si="15"/>
        <v>0</v>
      </c>
      <c r="I35" s="316">
        <f t="shared" si="15"/>
        <v>0</v>
      </c>
      <c r="J35" s="316">
        <f t="shared" si="15"/>
        <v>0</v>
      </c>
      <c r="K35" s="316">
        <f t="shared" si="15"/>
        <v>0</v>
      </c>
      <c r="L35" s="316">
        <f t="shared" si="15"/>
        <v>0</v>
      </c>
      <c r="M35" s="316">
        <f t="shared" si="15"/>
        <v>0</v>
      </c>
      <c r="N35" s="316">
        <f t="shared" si="15"/>
        <v>0</v>
      </c>
      <c r="O35" s="316">
        <f t="shared" si="15"/>
        <v>0</v>
      </c>
      <c r="P35" s="316">
        <f t="shared" si="15"/>
        <v>0</v>
      </c>
      <c r="Q35" s="316">
        <f t="shared" si="15"/>
        <v>0</v>
      </c>
      <c r="R35" s="316">
        <f t="shared" si="15"/>
        <v>0</v>
      </c>
      <c r="S35" s="316">
        <f t="shared" si="15"/>
        <v>0</v>
      </c>
      <c r="T35" s="316">
        <f t="shared" si="15"/>
        <v>0</v>
      </c>
      <c r="U35" s="316">
        <f t="shared" si="15"/>
        <v>0</v>
      </c>
      <c r="V35" s="316">
        <f t="shared" ref="V35:AK50" si="16">(IF($B35&lt;=V$31,(HLOOKUP((V$31-$B35+1),$F$31:$AO$33,3,FALSE)),0))*HLOOKUP($B35,$F$4:$AO$23,20,FALSE)</f>
        <v>0</v>
      </c>
      <c r="W35" s="316">
        <f t="shared" si="16"/>
        <v>0</v>
      </c>
      <c r="X35" s="316">
        <f t="shared" si="16"/>
        <v>0</v>
      </c>
      <c r="Y35" s="316">
        <f t="shared" si="16"/>
        <v>0</v>
      </c>
      <c r="Z35" s="316">
        <f t="shared" si="16"/>
        <v>0</v>
      </c>
      <c r="AA35" s="316">
        <f t="shared" si="16"/>
        <v>0</v>
      </c>
      <c r="AB35" s="316">
        <f t="shared" si="16"/>
        <v>0</v>
      </c>
      <c r="AC35" s="316">
        <f t="shared" si="16"/>
        <v>0</v>
      </c>
      <c r="AD35" s="316">
        <f t="shared" si="16"/>
        <v>0</v>
      </c>
      <c r="AE35" s="316">
        <f t="shared" si="16"/>
        <v>0</v>
      </c>
      <c r="AF35" s="316">
        <f t="shared" si="16"/>
        <v>0</v>
      </c>
      <c r="AG35" s="316">
        <f t="shared" si="16"/>
        <v>0</v>
      </c>
      <c r="AH35" s="316">
        <f t="shared" si="16"/>
        <v>0</v>
      </c>
      <c r="AI35" s="316">
        <f t="shared" si="16"/>
        <v>0</v>
      </c>
      <c r="AJ35" s="316">
        <f t="shared" si="16"/>
        <v>0</v>
      </c>
      <c r="AK35" s="316">
        <f t="shared" si="16"/>
        <v>0</v>
      </c>
      <c r="AL35" s="316">
        <f t="shared" ref="AJ35:AO50" si="17">(IF($B35&lt;=AL$31,(HLOOKUP((AL$31-$B35+1),$F$31:$AO$33,3,FALSE)),0))*HLOOKUP($B35,$F$4:$AO$23,20,FALSE)</f>
        <v>0</v>
      </c>
      <c r="AM35" s="316">
        <f t="shared" si="17"/>
        <v>0</v>
      </c>
      <c r="AN35" s="316">
        <f t="shared" si="17"/>
        <v>0</v>
      </c>
      <c r="AO35" s="316">
        <f t="shared" si="17"/>
        <v>0</v>
      </c>
    </row>
    <row r="36" spans="1:46" x14ac:dyDescent="0.2">
      <c r="B36" s="571">
        <f>+B35+1</f>
        <v>2</v>
      </c>
      <c r="C36" s="606">
        <f t="shared" si="12"/>
        <v>0</v>
      </c>
      <c r="D36" s="607">
        <f t="shared" si="13"/>
        <v>0</v>
      </c>
      <c r="E36" s="608">
        <f t="shared" si="14"/>
        <v>0</v>
      </c>
      <c r="F36" s="316">
        <f t="shared" si="15"/>
        <v>0</v>
      </c>
      <c r="G36" s="316">
        <f t="shared" si="15"/>
        <v>0</v>
      </c>
      <c r="H36" s="316">
        <f t="shared" si="15"/>
        <v>0</v>
      </c>
      <c r="I36" s="316">
        <f t="shared" si="15"/>
        <v>0</v>
      </c>
      <c r="J36" s="316">
        <f t="shared" si="15"/>
        <v>0</v>
      </c>
      <c r="K36" s="316">
        <f t="shared" si="15"/>
        <v>0</v>
      </c>
      <c r="L36" s="316">
        <f t="shared" si="15"/>
        <v>0</v>
      </c>
      <c r="M36" s="316">
        <f t="shared" si="15"/>
        <v>0</v>
      </c>
      <c r="N36" s="316">
        <f t="shared" si="15"/>
        <v>0</v>
      </c>
      <c r="O36" s="316">
        <f t="shared" si="15"/>
        <v>0</v>
      </c>
      <c r="P36" s="316">
        <f t="shared" si="15"/>
        <v>0</v>
      </c>
      <c r="Q36" s="316">
        <f t="shared" si="15"/>
        <v>0</v>
      </c>
      <c r="R36" s="316">
        <f t="shared" si="15"/>
        <v>0</v>
      </c>
      <c r="S36" s="316">
        <f t="shared" si="15"/>
        <v>0</v>
      </c>
      <c r="T36" s="316">
        <f t="shared" si="15"/>
        <v>0</v>
      </c>
      <c r="U36" s="316">
        <f t="shared" si="15"/>
        <v>0</v>
      </c>
      <c r="V36" s="316">
        <f t="shared" si="16"/>
        <v>0</v>
      </c>
      <c r="W36" s="316">
        <f t="shared" si="16"/>
        <v>0</v>
      </c>
      <c r="X36" s="316">
        <f t="shared" si="16"/>
        <v>0</v>
      </c>
      <c r="Y36" s="316">
        <f t="shared" si="16"/>
        <v>0</v>
      </c>
      <c r="Z36" s="316">
        <f t="shared" si="16"/>
        <v>0</v>
      </c>
      <c r="AA36" s="316">
        <f t="shared" si="16"/>
        <v>0</v>
      </c>
      <c r="AB36" s="316">
        <f t="shared" si="16"/>
        <v>0</v>
      </c>
      <c r="AC36" s="316">
        <f t="shared" si="16"/>
        <v>0</v>
      </c>
      <c r="AD36" s="316">
        <f t="shared" si="16"/>
        <v>0</v>
      </c>
      <c r="AE36" s="316">
        <f t="shared" si="16"/>
        <v>0</v>
      </c>
      <c r="AF36" s="316">
        <f t="shared" si="16"/>
        <v>0</v>
      </c>
      <c r="AG36" s="316">
        <f t="shared" si="16"/>
        <v>0</v>
      </c>
      <c r="AH36" s="316">
        <f t="shared" si="16"/>
        <v>0</v>
      </c>
      <c r="AI36" s="316">
        <f t="shared" si="16"/>
        <v>0</v>
      </c>
      <c r="AJ36" s="316">
        <f t="shared" si="17"/>
        <v>0</v>
      </c>
      <c r="AK36" s="316">
        <f t="shared" si="17"/>
        <v>0</v>
      </c>
      <c r="AL36" s="316">
        <f t="shared" si="17"/>
        <v>0</v>
      </c>
      <c r="AM36" s="316">
        <f t="shared" si="17"/>
        <v>0</v>
      </c>
      <c r="AN36" s="316">
        <f t="shared" si="17"/>
        <v>0</v>
      </c>
      <c r="AO36" s="316">
        <f t="shared" si="17"/>
        <v>0</v>
      </c>
    </row>
    <row r="37" spans="1:46" x14ac:dyDescent="0.2">
      <c r="B37" s="571">
        <f t="shared" ref="B37:B70" si="18">+B36+1</f>
        <v>3</v>
      </c>
      <c r="C37" s="606">
        <f t="shared" si="12"/>
        <v>0</v>
      </c>
      <c r="D37" s="607">
        <f t="shared" si="13"/>
        <v>0</v>
      </c>
      <c r="E37" s="608">
        <f t="shared" si="14"/>
        <v>0</v>
      </c>
      <c r="F37" s="316">
        <f t="shared" si="15"/>
        <v>0</v>
      </c>
      <c r="G37" s="316">
        <f t="shared" si="15"/>
        <v>0</v>
      </c>
      <c r="H37" s="316">
        <f t="shared" si="15"/>
        <v>0</v>
      </c>
      <c r="I37" s="316">
        <f t="shared" si="15"/>
        <v>0</v>
      </c>
      <c r="J37" s="316">
        <f t="shared" si="15"/>
        <v>0</v>
      </c>
      <c r="K37" s="316">
        <f t="shared" si="15"/>
        <v>0</v>
      </c>
      <c r="L37" s="316">
        <f t="shared" si="15"/>
        <v>0</v>
      </c>
      <c r="M37" s="316">
        <f t="shared" si="15"/>
        <v>0</v>
      </c>
      <c r="N37" s="316">
        <f t="shared" si="15"/>
        <v>0</v>
      </c>
      <c r="O37" s="316">
        <f t="shared" si="15"/>
        <v>0</v>
      </c>
      <c r="P37" s="316">
        <f t="shared" si="15"/>
        <v>0</v>
      </c>
      <c r="Q37" s="316">
        <f t="shared" si="15"/>
        <v>0</v>
      </c>
      <c r="R37" s="316">
        <f t="shared" si="15"/>
        <v>0</v>
      </c>
      <c r="S37" s="316">
        <f t="shared" si="15"/>
        <v>0</v>
      </c>
      <c r="T37" s="316">
        <f t="shared" si="15"/>
        <v>0</v>
      </c>
      <c r="U37" s="316">
        <f t="shared" si="15"/>
        <v>0</v>
      </c>
      <c r="V37" s="316">
        <f t="shared" si="16"/>
        <v>0</v>
      </c>
      <c r="W37" s="316">
        <f t="shared" si="16"/>
        <v>0</v>
      </c>
      <c r="X37" s="316">
        <f t="shared" si="16"/>
        <v>0</v>
      </c>
      <c r="Y37" s="316">
        <f t="shared" si="16"/>
        <v>0</v>
      </c>
      <c r="Z37" s="316">
        <f t="shared" si="16"/>
        <v>0</v>
      </c>
      <c r="AA37" s="316">
        <f t="shared" si="16"/>
        <v>0</v>
      </c>
      <c r="AB37" s="316">
        <f t="shared" si="16"/>
        <v>0</v>
      </c>
      <c r="AC37" s="316">
        <f t="shared" si="16"/>
        <v>0</v>
      </c>
      <c r="AD37" s="316">
        <f t="shared" si="16"/>
        <v>0</v>
      </c>
      <c r="AE37" s="316">
        <f t="shared" si="16"/>
        <v>0</v>
      </c>
      <c r="AF37" s="316">
        <f t="shared" si="16"/>
        <v>0</v>
      </c>
      <c r="AG37" s="316">
        <f t="shared" si="16"/>
        <v>0</v>
      </c>
      <c r="AH37" s="316">
        <f t="shared" si="16"/>
        <v>0</v>
      </c>
      <c r="AI37" s="316">
        <f t="shared" si="16"/>
        <v>0</v>
      </c>
      <c r="AJ37" s="316">
        <f t="shared" si="17"/>
        <v>0</v>
      </c>
      <c r="AK37" s="316">
        <f t="shared" si="17"/>
        <v>0</v>
      </c>
      <c r="AL37" s="316">
        <f t="shared" si="17"/>
        <v>0</v>
      </c>
      <c r="AM37" s="316">
        <f t="shared" si="17"/>
        <v>0</v>
      </c>
      <c r="AN37" s="316">
        <f t="shared" si="17"/>
        <v>0</v>
      </c>
      <c r="AO37" s="316">
        <f t="shared" si="17"/>
        <v>0</v>
      </c>
    </row>
    <row r="38" spans="1:46" x14ac:dyDescent="0.2">
      <c r="B38" s="571">
        <f t="shared" si="18"/>
        <v>4</v>
      </c>
      <c r="C38" s="606">
        <f t="shared" si="12"/>
        <v>0</v>
      </c>
      <c r="D38" s="607">
        <f t="shared" si="13"/>
        <v>0</v>
      </c>
      <c r="E38" s="608">
        <f t="shared" si="14"/>
        <v>0</v>
      </c>
      <c r="F38" s="316">
        <f t="shared" si="15"/>
        <v>0</v>
      </c>
      <c r="G38" s="316">
        <f t="shared" si="15"/>
        <v>0</v>
      </c>
      <c r="H38" s="316">
        <f t="shared" si="15"/>
        <v>0</v>
      </c>
      <c r="I38" s="316">
        <f t="shared" si="15"/>
        <v>0</v>
      </c>
      <c r="J38" s="316">
        <f t="shared" si="15"/>
        <v>0</v>
      </c>
      <c r="K38" s="316">
        <f t="shared" si="15"/>
        <v>0</v>
      </c>
      <c r="L38" s="316">
        <f t="shared" si="15"/>
        <v>0</v>
      </c>
      <c r="M38" s="316">
        <f t="shared" si="15"/>
        <v>0</v>
      </c>
      <c r="N38" s="316">
        <f t="shared" si="15"/>
        <v>0</v>
      </c>
      <c r="O38" s="316">
        <f t="shared" si="15"/>
        <v>0</v>
      </c>
      <c r="P38" s="316">
        <f t="shared" si="15"/>
        <v>0</v>
      </c>
      <c r="Q38" s="316">
        <f t="shared" si="15"/>
        <v>0</v>
      </c>
      <c r="R38" s="316">
        <f t="shared" si="15"/>
        <v>0</v>
      </c>
      <c r="S38" s="316">
        <f t="shared" si="15"/>
        <v>0</v>
      </c>
      <c r="T38" s="316">
        <f t="shared" si="15"/>
        <v>0</v>
      </c>
      <c r="U38" s="316">
        <f t="shared" si="15"/>
        <v>0</v>
      </c>
      <c r="V38" s="316">
        <f t="shared" si="16"/>
        <v>0</v>
      </c>
      <c r="W38" s="316">
        <f t="shared" si="16"/>
        <v>0</v>
      </c>
      <c r="X38" s="316">
        <f t="shared" si="16"/>
        <v>0</v>
      </c>
      <c r="Y38" s="316">
        <f t="shared" si="16"/>
        <v>0</v>
      </c>
      <c r="Z38" s="316">
        <f t="shared" si="16"/>
        <v>0</v>
      </c>
      <c r="AA38" s="316">
        <f t="shared" si="16"/>
        <v>0</v>
      </c>
      <c r="AB38" s="316">
        <f t="shared" si="16"/>
        <v>0</v>
      </c>
      <c r="AC38" s="316">
        <f t="shared" si="16"/>
        <v>0</v>
      </c>
      <c r="AD38" s="316">
        <f t="shared" si="16"/>
        <v>0</v>
      </c>
      <c r="AE38" s="316">
        <f t="shared" si="16"/>
        <v>0</v>
      </c>
      <c r="AF38" s="316">
        <f t="shared" si="16"/>
        <v>0</v>
      </c>
      <c r="AG38" s="316">
        <f t="shared" si="16"/>
        <v>0</v>
      </c>
      <c r="AH38" s="316">
        <f t="shared" si="16"/>
        <v>0</v>
      </c>
      <c r="AI38" s="316">
        <f t="shared" si="16"/>
        <v>0</v>
      </c>
      <c r="AJ38" s="316">
        <f t="shared" si="17"/>
        <v>0</v>
      </c>
      <c r="AK38" s="316">
        <f t="shared" si="17"/>
        <v>0</v>
      </c>
      <c r="AL38" s="316">
        <f t="shared" si="17"/>
        <v>0</v>
      </c>
      <c r="AM38" s="316">
        <f t="shared" si="17"/>
        <v>0</v>
      </c>
      <c r="AN38" s="316">
        <f t="shared" si="17"/>
        <v>0</v>
      </c>
      <c r="AO38" s="316">
        <f t="shared" si="17"/>
        <v>0</v>
      </c>
    </row>
    <row r="39" spans="1:46" x14ac:dyDescent="0.2">
      <c r="B39" s="571">
        <f t="shared" si="18"/>
        <v>5</v>
      </c>
      <c r="C39" s="606">
        <f t="shared" si="12"/>
        <v>0</v>
      </c>
      <c r="D39" s="607">
        <f t="shared" si="13"/>
        <v>0</v>
      </c>
      <c r="E39" s="608">
        <f t="shared" si="14"/>
        <v>0</v>
      </c>
      <c r="F39" s="316">
        <f t="shared" si="15"/>
        <v>0</v>
      </c>
      <c r="G39" s="316">
        <f t="shared" si="15"/>
        <v>0</v>
      </c>
      <c r="H39" s="316">
        <f t="shared" si="15"/>
        <v>0</v>
      </c>
      <c r="I39" s="316">
        <f t="shared" si="15"/>
        <v>0</v>
      </c>
      <c r="J39" s="316">
        <f t="shared" si="15"/>
        <v>0</v>
      </c>
      <c r="K39" s="316">
        <f t="shared" si="15"/>
        <v>0</v>
      </c>
      <c r="L39" s="316">
        <f t="shared" si="15"/>
        <v>0</v>
      </c>
      <c r="M39" s="316">
        <f t="shared" si="15"/>
        <v>0</v>
      </c>
      <c r="N39" s="316">
        <f t="shared" si="15"/>
        <v>0</v>
      </c>
      <c r="O39" s="316">
        <f t="shared" si="15"/>
        <v>0</v>
      </c>
      <c r="P39" s="316">
        <f t="shared" si="15"/>
        <v>0</v>
      </c>
      <c r="Q39" s="316">
        <f t="shared" si="15"/>
        <v>0</v>
      </c>
      <c r="R39" s="316">
        <f t="shared" si="15"/>
        <v>0</v>
      </c>
      <c r="S39" s="316">
        <f t="shared" si="15"/>
        <v>0</v>
      </c>
      <c r="T39" s="316">
        <f t="shared" si="15"/>
        <v>0</v>
      </c>
      <c r="U39" s="316">
        <f t="shared" si="15"/>
        <v>0</v>
      </c>
      <c r="V39" s="316">
        <f t="shared" si="16"/>
        <v>0</v>
      </c>
      <c r="W39" s="316">
        <f t="shared" si="16"/>
        <v>0</v>
      </c>
      <c r="X39" s="316">
        <f t="shared" si="16"/>
        <v>0</v>
      </c>
      <c r="Y39" s="316">
        <f t="shared" si="16"/>
        <v>0</v>
      </c>
      <c r="Z39" s="316">
        <f t="shared" si="16"/>
        <v>0</v>
      </c>
      <c r="AA39" s="316">
        <f t="shared" si="16"/>
        <v>0</v>
      </c>
      <c r="AB39" s="316">
        <f t="shared" si="16"/>
        <v>0</v>
      </c>
      <c r="AC39" s="316">
        <f t="shared" si="16"/>
        <v>0</v>
      </c>
      <c r="AD39" s="316">
        <f t="shared" si="16"/>
        <v>0</v>
      </c>
      <c r="AE39" s="316">
        <f t="shared" si="16"/>
        <v>0</v>
      </c>
      <c r="AF39" s="316">
        <f t="shared" si="16"/>
        <v>0</v>
      </c>
      <c r="AG39" s="316">
        <f t="shared" si="16"/>
        <v>0</v>
      </c>
      <c r="AH39" s="316">
        <f t="shared" si="16"/>
        <v>0</v>
      </c>
      <c r="AI39" s="316">
        <f t="shared" si="16"/>
        <v>0</v>
      </c>
      <c r="AJ39" s="316">
        <f t="shared" si="17"/>
        <v>0</v>
      </c>
      <c r="AK39" s="316">
        <f t="shared" si="17"/>
        <v>0</v>
      </c>
      <c r="AL39" s="316">
        <f t="shared" si="17"/>
        <v>0</v>
      </c>
      <c r="AM39" s="316">
        <f t="shared" si="17"/>
        <v>0</v>
      </c>
      <c r="AN39" s="316">
        <f t="shared" si="17"/>
        <v>0</v>
      </c>
      <c r="AO39" s="316">
        <f t="shared" si="17"/>
        <v>0</v>
      </c>
    </row>
    <row r="40" spans="1:46" x14ac:dyDescent="0.2">
      <c r="B40" s="571">
        <f t="shared" si="18"/>
        <v>6</v>
      </c>
      <c r="C40" s="606">
        <f t="shared" si="12"/>
        <v>0</v>
      </c>
      <c r="D40" s="607">
        <f t="shared" si="13"/>
        <v>0</v>
      </c>
      <c r="E40" s="608">
        <f t="shared" si="14"/>
        <v>0</v>
      </c>
      <c r="F40" s="316">
        <f t="shared" si="15"/>
        <v>0</v>
      </c>
      <c r="G40" s="316">
        <f t="shared" si="15"/>
        <v>0</v>
      </c>
      <c r="H40" s="316">
        <f t="shared" si="15"/>
        <v>0</v>
      </c>
      <c r="I40" s="316">
        <f t="shared" si="15"/>
        <v>0</v>
      </c>
      <c r="J40" s="316">
        <f t="shared" si="15"/>
        <v>0</v>
      </c>
      <c r="K40" s="316">
        <f t="shared" si="15"/>
        <v>0</v>
      </c>
      <c r="L40" s="316">
        <f t="shared" si="15"/>
        <v>0</v>
      </c>
      <c r="M40" s="316">
        <f t="shared" si="15"/>
        <v>0</v>
      </c>
      <c r="N40" s="316">
        <f t="shared" si="15"/>
        <v>0</v>
      </c>
      <c r="O40" s="316">
        <f t="shared" si="15"/>
        <v>0</v>
      </c>
      <c r="P40" s="316">
        <f t="shared" si="15"/>
        <v>0</v>
      </c>
      <c r="Q40" s="316">
        <f t="shared" si="15"/>
        <v>0</v>
      </c>
      <c r="R40" s="316">
        <f t="shared" si="15"/>
        <v>0</v>
      </c>
      <c r="S40" s="316">
        <f t="shared" si="15"/>
        <v>0</v>
      </c>
      <c r="T40" s="316">
        <f t="shared" si="15"/>
        <v>0</v>
      </c>
      <c r="U40" s="316">
        <f t="shared" si="15"/>
        <v>0</v>
      </c>
      <c r="V40" s="316">
        <f t="shared" si="16"/>
        <v>0</v>
      </c>
      <c r="W40" s="316">
        <f t="shared" si="16"/>
        <v>0</v>
      </c>
      <c r="X40" s="316">
        <f t="shared" si="16"/>
        <v>0</v>
      </c>
      <c r="Y40" s="316">
        <f t="shared" si="16"/>
        <v>0</v>
      </c>
      <c r="Z40" s="316">
        <f t="shared" si="16"/>
        <v>0</v>
      </c>
      <c r="AA40" s="316">
        <f t="shared" si="16"/>
        <v>0</v>
      </c>
      <c r="AB40" s="316">
        <f t="shared" si="16"/>
        <v>0</v>
      </c>
      <c r="AC40" s="316">
        <f t="shared" si="16"/>
        <v>0</v>
      </c>
      <c r="AD40" s="316">
        <f t="shared" si="16"/>
        <v>0</v>
      </c>
      <c r="AE40" s="316">
        <f t="shared" si="16"/>
        <v>0</v>
      </c>
      <c r="AF40" s="316">
        <f t="shared" si="16"/>
        <v>0</v>
      </c>
      <c r="AG40" s="316">
        <f t="shared" si="16"/>
        <v>0</v>
      </c>
      <c r="AH40" s="316">
        <f t="shared" si="16"/>
        <v>0</v>
      </c>
      <c r="AI40" s="316">
        <f t="shared" si="16"/>
        <v>0</v>
      </c>
      <c r="AJ40" s="316">
        <f t="shared" si="17"/>
        <v>0</v>
      </c>
      <c r="AK40" s="316">
        <f t="shared" si="17"/>
        <v>0</v>
      </c>
      <c r="AL40" s="316">
        <f t="shared" si="17"/>
        <v>0</v>
      </c>
      <c r="AM40" s="316">
        <f t="shared" si="17"/>
        <v>0</v>
      </c>
      <c r="AN40" s="316">
        <f t="shared" si="17"/>
        <v>0</v>
      </c>
      <c r="AO40" s="316">
        <f t="shared" si="17"/>
        <v>0</v>
      </c>
    </row>
    <row r="41" spans="1:46" x14ac:dyDescent="0.2">
      <c r="B41" s="571">
        <f t="shared" si="18"/>
        <v>7</v>
      </c>
      <c r="C41" s="606">
        <f t="shared" si="12"/>
        <v>0</v>
      </c>
      <c r="D41" s="607">
        <f t="shared" si="13"/>
        <v>0</v>
      </c>
      <c r="E41" s="608">
        <f t="shared" si="14"/>
        <v>0</v>
      </c>
      <c r="F41" s="316">
        <f t="shared" si="15"/>
        <v>0</v>
      </c>
      <c r="G41" s="316">
        <f t="shared" si="15"/>
        <v>0</v>
      </c>
      <c r="H41" s="316">
        <f t="shared" si="15"/>
        <v>0</v>
      </c>
      <c r="I41" s="316">
        <f t="shared" si="15"/>
        <v>0</v>
      </c>
      <c r="J41" s="316">
        <f t="shared" si="15"/>
        <v>0</v>
      </c>
      <c r="K41" s="316">
        <f t="shared" si="15"/>
        <v>0</v>
      </c>
      <c r="L41" s="316">
        <f t="shared" si="15"/>
        <v>0</v>
      </c>
      <c r="M41" s="316">
        <f t="shared" si="15"/>
        <v>0</v>
      </c>
      <c r="N41" s="316">
        <f t="shared" si="15"/>
        <v>0</v>
      </c>
      <c r="O41" s="316">
        <f t="shared" si="15"/>
        <v>0</v>
      </c>
      <c r="P41" s="316">
        <f t="shared" si="15"/>
        <v>0</v>
      </c>
      <c r="Q41" s="316">
        <f t="shared" si="15"/>
        <v>0</v>
      </c>
      <c r="R41" s="316">
        <f t="shared" si="15"/>
        <v>0</v>
      </c>
      <c r="S41" s="316">
        <f t="shared" si="15"/>
        <v>0</v>
      </c>
      <c r="T41" s="316">
        <f t="shared" si="15"/>
        <v>0</v>
      </c>
      <c r="U41" s="316">
        <f t="shared" si="15"/>
        <v>0</v>
      </c>
      <c r="V41" s="316">
        <f t="shared" si="16"/>
        <v>0</v>
      </c>
      <c r="W41" s="316">
        <f t="shared" si="16"/>
        <v>0</v>
      </c>
      <c r="X41" s="316">
        <f t="shared" si="16"/>
        <v>0</v>
      </c>
      <c r="Y41" s="316">
        <f t="shared" si="16"/>
        <v>0</v>
      </c>
      <c r="Z41" s="316">
        <f t="shared" si="16"/>
        <v>0</v>
      </c>
      <c r="AA41" s="316">
        <f t="shared" si="16"/>
        <v>0</v>
      </c>
      <c r="AB41" s="316">
        <f t="shared" si="16"/>
        <v>0</v>
      </c>
      <c r="AC41" s="316">
        <f t="shared" si="16"/>
        <v>0</v>
      </c>
      <c r="AD41" s="316">
        <f t="shared" si="16"/>
        <v>0</v>
      </c>
      <c r="AE41" s="316">
        <f t="shared" si="16"/>
        <v>0</v>
      </c>
      <c r="AF41" s="316">
        <f t="shared" si="16"/>
        <v>0</v>
      </c>
      <c r="AG41" s="316">
        <f t="shared" si="16"/>
        <v>0</v>
      </c>
      <c r="AH41" s="316">
        <f t="shared" si="16"/>
        <v>0</v>
      </c>
      <c r="AI41" s="316">
        <f t="shared" si="16"/>
        <v>0</v>
      </c>
      <c r="AJ41" s="316">
        <f t="shared" si="17"/>
        <v>0</v>
      </c>
      <c r="AK41" s="316">
        <f t="shared" si="17"/>
        <v>0</v>
      </c>
      <c r="AL41" s="316">
        <f t="shared" si="17"/>
        <v>0</v>
      </c>
      <c r="AM41" s="316">
        <f t="shared" si="17"/>
        <v>0</v>
      </c>
      <c r="AN41" s="316">
        <f t="shared" si="17"/>
        <v>0</v>
      </c>
      <c r="AO41" s="316">
        <f t="shared" si="17"/>
        <v>0</v>
      </c>
    </row>
    <row r="42" spans="1:46" x14ac:dyDescent="0.2">
      <c r="B42" s="571">
        <f t="shared" si="18"/>
        <v>8</v>
      </c>
      <c r="C42" s="606">
        <f t="shared" si="12"/>
        <v>0</v>
      </c>
      <c r="D42" s="607">
        <f t="shared" si="13"/>
        <v>0</v>
      </c>
      <c r="E42" s="608">
        <f t="shared" si="14"/>
        <v>0</v>
      </c>
      <c r="F42" s="316">
        <f t="shared" si="15"/>
        <v>0</v>
      </c>
      <c r="G42" s="316">
        <f t="shared" si="15"/>
        <v>0</v>
      </c>
      <c r="H42" s="316">
        <f t="shared" si="15"/>
        <v>0</v>
      </c>
      <c r="I42" s="316">
        <f t="shared" si="15"/>
        <v>0</v>
      </c>
      <c r="J42" s="316">
        <f t="shared" si="15"/>
        <v>0</v>
      </c>
      <c r="K42" s="316">
        <f t="shared" si="15"/>
        <v>0</v>
      </c>
      <c r="L42" s="316">
        <f t="shared" si="15"/>
        <v>0</v>
      </c>
      <c r="M42" s="316">
        <f t="shared" si="15"/>
        <v>0</v>
      </c>
      <c r="N42" s="316">
        <f t="shared" si="15"/>
        <v>0</v>
      </c>
      <c r="O42" s="316">
        <f t="shared" si="15"/>
        <v>0</v>
      </c>
      <c r="P42" s="316">
        <f t="shared" si="15"/>
        <v>0</v>
      </c>
      <c r="Q42" s="316">
        <f t="shared" si="15"/>
        <v>0</v>
      </c>
      <c r="R42" s="316">
        <f t="shared" si="15"/>
        <v>0</v>
      </c>
      <c r="S42" s="316">
        <f t="shared" si="15"/>
        <v>0</v>
      </c>
      <c r="T42" s="316">
        <f t="shared" si="15"/>
        <v>0</v>
      </c>
      <c r="U42" s="316">
        <f t="shared" si="15"/>
        <v>0</v>
      </c>
      <c r="V42" s="316">
        <f t="shared" si="16"/>
        <v>0</v>
      </c>
      <c r="W42" s="316">
        <f t="shared" si="16"/>
        <v>0</v>
      </c>
      <c r="X42" s="316">
        <f t="shared" si="16"/>
        <v>0</v>
      </c>
      <c r="Y42" s="316">
        <f t="shared" si="16"/>
        <v>0</v>
      </c>
      <c r="Z42" s="316">
        <f t="shared" si="16"/>
        <v>0</v>
      </c>
      <c r="AA42" s="316">
        <f t="shared" si="16"/>
        <v>0</v>
      </c>
      <c r="AB42" s="316">
        <f t="shared" si="16"/>
        <v>0</v>
      </c>
      <c r="AC42" s="316">
        <f t="shared" si="16"/>
        <v>0</v>
      </c>
      <c r="AD42" s="316">
        <f t="shared" si="16"/>
        <v>0</v>
      </c>
      <c r="AE42" s="316">
        <f t="shared" si="16"/>
        <v>0</v>
      </c>
      <c r="AF42" s="316">
        <f t="shared" si="16"/>
        <v>0</v>
      </c>
      <c r="AG42" s="316">
        <f t="shared" si="16"/>
        <v>0</v>
      </c>
      <c r="AH42" s="316">
        <f t="shared" si="16"/>
        <v>0</v>
      </c>
      <c r="AI42" s="316">
        <f t="shared" si="16"/>
        <v>0</v>
      </c>
      <c r="AJ42" s="316">
        <f t="shared" si="17"/>
        <v>0</v>
      </c>
      <c r="AK42" s="316">
        <f t="shared" si="17"/>
        <v>0</v>
      </c>
      <c r="AL42" s="316">
        <f t="shared" si="17"/>
        <v>0</v>
      </c>
      <c r="AM42" s="316">
        <f t="shared" si="17"/>
        <v>0</v>
      </c>
      <c r="AN42" s="316">
        <f t="shared" si="17"/>
        <v>0</v>
      </c>
      <c r="AO42" s="316">
        <f t="shared" si="17"/>
        <v>0</v>
      </c>
    </row>
    <row r="43" spans="1:46" x14ac:dyDescent="0.2">
      <c r="B43" s="571">
        <f t="shared" si="18"/>
        <v>9</v>
      </c>
      <c r="C43" s="606">
        <f t="shared" si="12"/>
        <v>0</v>
      </c>
      <c r="D43" s="607">
        <f t="shared" si="13"/>
        <v>0</v>
      </c>
      <c r="E43" s="608">
        <f t="shared" si="14"/>
        <v>0</v>
      </c>
      <c r="F43" s="316">
        <f t="shared" si="15"/>
        <v>0</v>
      </c>
      <c r="G43" s="316">
        <f t="shared" si="15"/>
        <v>0</v>
      </c>
      <c r="H43" s="316">
        <f t="shared" si="15"/>
        <v>0</v>
      </c>
      <c r="I43" s="316">
        <f t="shared" si="15"/>
        <v>0</v>
      </c>
      <c r="J43" s="316">
        <f t="shared" si="15"/>
        <v>0</v>
      </c>
      <c r="K43" s="316">
        <f t="shared" si="15"/>
        <v>0</v>
      </c>
      <c r="L43" s="316">
        <f t="shared" si="15"/>
        <v>0</v>
      </c>
      <c r="M43" s="316">
        <f t="shared" si="15"/>
        <v>0</v>
      </c>
      <c r="N43" s="316">
        <f t="shared" si="15"/>
        <v>0</v>
      </c>
      <c r="O43" s="316">
        <f t="shared" si="15"/>
        <v>0</v>
      </c>
      <c r="P43" s="316">
        <f t="shared" si="15"/>
        <v>0</v>
      </c>
      <c r="Q43" s="316">
        <f t="shared" si="15"/>
        <v>0</v>
      </c>
      <c r="R43" s="316">
        <f t="shared" si="15"/>
        <v>0</v>
      </c>
      <c r="S43" s="316">
        <f t="shared" si="15"/>
        <v>0</v>
      </c>
      <c r="T43" s="316">
        <f t="shared" si="15"/>
        <v>0</v>
      </c>
      <c r="U43" s="316">
        <f t="shared" si="15"/>
        <v>0</v>
      </c>
      <c r="V43" s="316">
        <f t="shared" si="16"/>
        <v>0</v>
      </c>
      <c r="W43" s="316">
        <f t="shared" si="16"/>
        <v>0</v>
      </c>
      <c r="X43" s="316">
        <f t="shared" si="16"/>
        <v>0</v>
      </c>
      <c r="Y43" s="316">
        <f t="shared" si="16"/>
        <v>0</v>
      </c>
      <c r="Z43" s="316">
        <f t="shared" si="16"/>
        <v>0</v>
      </c>
      <c r="AA43" s="316">
        <f t="shared" si="16"/>
        <v>0</v>
      </c>
      <c r="AB43" s="316">
        <f t="shared" si="16"/>
        <v>0</v>
      </c>
      <c r="AC43" s="316">
        <f t="shared" si="16"/>
        <v>0</v>
      </c>
      <c r="AD43" s="316">
        <f t="shared" si="16"/>
        <v>0</v>
      </c>
      <c r="AE43" s="316">
        <f t="shared" si="16"/>
        <v>0</v>
      </c>
      <c r="AF43" s="316">
        <f t="shared" si="16"/>
        <v>0</v>
      </c>
      <c r="AG43" s="316">
        <f t="shared" si="16"/>
        <v>0</v>
      </c>
      <c r="AH43" s="316">
        <f t="shared" si="16"/>
        <v>0</v>
      </c>
      <c r="AI43" s="316">
        <f t="shared" si="16"/>
        <v>0</v>
      </c>
      <c r="AJ43" s="316">
        <f t="shared" si="17"/>
        <v>0</v>
      </c>
      <c r="AK43" s="316">
        <f t="shared" si="17"/>
        <v>0</v>
      </c>
      <c r="AL43" s="316">
        <f t="shared" si="17"/>
        <v>0</v>
      </c>
      <c r="AM43" s="316">
        <f t="shared" si="17"/>
        <v>0</v>
      </c>
      <c r="AN43" s="316">
        <f t="shared" si="17"/>
        <v>0</v>
      </c>
      <c r="AO43" s="316">
        <f t="shared" si="17"/>
        <v>0</v>
      </c>
    </row>
    <row r="44" spans="1:46" x14ac:dyDescent="0.2">
      <c r="B44" s="571">
        <f t="shared" si="18"/>
        <v>10</v>
      </c>
      <c r="C44" s="606">
        <f t="shared" si="12"/>
        <v>0</v>
      </c>
      <c r="D44" s="607">
        <f t="shared" si="13"/>
        <v>0</v>
      </c>
      <c r="E44" s="608">
        <f t="shared" si="14"/>
        <v>0</v>
      </c>
      <c r="F44" s="316">
        <f t="shared" si="15"/>
        <v>0</v>
      </c>
      <c r="G44" s="316">
        <f t="shared" si="15"/>
        <v>0</v>
      </c>
      <c r="H44" s="316">
        <f t="shared" si="15"/>
        <v>0</v>
      </c>
      <c r="I44" s="316">
        <f t="shared" si="15"/>
        <v>0</v>
      </c>
      <c r="J44" s="316">
        <f t="shared" si="15"/>
        <v>0</v>
      </c>
      <c r="K44" s="316">
        <f t="shared" si="15"/>
        <v>0</v>
      </c>
      <c r="L44" s="316">
        <f t="shared" si="15"/>
        <v>0</v>
      </c>
      <c r="M44" s="316">
        <f t="shared" si="15"/>
        <v>0</v>
      </c>
      <c r="N44" s="316">
        <f t="shared" si="15"/>
        <v>0</v>
      </c>
      <c r="O44" s="316">
        <f t="shared" si="15"/>
        <v>0</v>
      </c>
      <c r="P44" s="316">
        <f t="shared" si="15"/>
        <v>0</v>
      </c>
      <c r="Q44" s="316">
        <f t="shared" si="15"/>
        <v>0</v>
      </c>
      <c r="R44" s="316">
        <f t="shared" si="15"/>
        <v>0</v>
      </c>
      <c r="S44" s="316">
        <f t="shared" si="15"/>
        <v>0</v>
      </c>
      <c r="T44" s="316">
        <f t="shared" si="15"/>
        <v>0</v>
      </c>
      <c r="U44" s="316">
        <f t="shared" si="15"/>
        <v>0</v>
      </c>
      <c r="V44" s="316">
        <f t="shared" si="16"/>
        <v>0</v>
      </c>
      <c r="W44" s="316">
        <f t="shared" si="16"/>
        <v>0</v>
      </c>
      <c r="X44" s="316">
        <f t="shared" si="16"/>
        <v>0</v>
      </c>
      <c r="Y44" s="316">
        <f t="shared" si="16"/>
        <v>0</v>
      </c>
      <c r="Z44" s="316">
        <f t="shared" si="16"/>
        <v>0</v>
      </c>
      <c r="AA44" s="316">
        <f t="shared" si="16"/>
        <v>0</v>
      </c>
      <c r="AB44" s="316">
        <f t="shared" si="16"/>
        <v>0</v>
      </c>
      <c r="AC44" s="316">
        <f t="shared" si="16"/>
        <v>0</v>
      </c>
      <c r="AD44" s="316">
        <f t="shared" si="16"/>
        <v>0</v>
      </c>
      <c r="AE44" s="316">
        <f t="shared" si="16"/>
        <v>0</v>
      </c>
      <c r="AF44" s="316">
        <f t="shared" si="16"/>
        <v>0</v>
      </c>
      <c r="AG44" s="316">
        <f t="shared" si="16"/>
        <v>0</v>
      </c>
      <c r="AH44" s="316">
        <f t="shared" si="16"/>
        <v>0</v>
      </c>
      <c r="AI44" s="316">
        <f t="shared" si="16"/>
        <v>0</v>
      </c>
      <c r="AJ44" s="316">
        <f t="shared" si="17"/>
        <v>0</v>
      </c>
      <c r="AK44" s="316">
        <f t="shared" si="17"/>
        <v>0</v>
      </c>
      <c r="AL44" s="316">
        <f t="shared" si="17"/>
        <v>0</v>
      </c>
      <c r="AM44" s="316">
        <f t="shared" si="17"/>
        <v>0</v>
      </c>
      <c r="AN44" s="316">
        <f t="shared" si="17"/>
        <v>0</v>
      </c>
      <c r="AO44" s="316">
        <f t="shared" si="17"/>
        <v>0</v>
      </c>
    </row>
    <row r="45" spans="1:46" x14ac:dyDescent="0.2">
      <c r="B45" s="571">
        <f t="shared" si="18"/>
        <v>11</v>
      </c>
      <c r="C45" s="606">
        <f t="shared" si="12"/>
        <v>0</v>
      </c>
      <c r="D45" s="607">
        <f t="shared" si="13"/>
        <v>0</v>
      </c>
      <c r="E45" s="608">
        <f t="shared" si="14"/>
        <v>0</v>
      </c>
      <c r="F45" s="316">
        <f t="shared" si="15"/>
        <v>0</v>
      </c>
      <c r="G45" s="316">
        <f t="shared" si="15"/>
        <v>0</v>
      </c>
      <c r="H45" s="316">
        <f t="shared" si="15"/>
        <v>0</v>
      </c>
      <c r="I45" s="316">
        <f t="shared" si="15"/>
        <v>0</v>
      </c>
      <c r="J45" s="316">
        <f t="shared" si="15"/>
        <v>0</v>
      </c>
      <c r="K45" s="316">
        <f t="shared" si="15"/>
        <v>0</v>
      </c>
      <c r="L45" s="316">
        <f t="shared" si="15"/>
        <v>0</v>
      </c>
      <c r="M45" s="316">
        <f t="shared" si="15"/>
        <v>0</v>
      </c>
      <c r="N45" s="316">
        <f t="shared" si="15"/>
        <v>0</v>
      </c>
      <c r="O45" s="316">
        <f t="shared" si="15"/>
        <v>0</v>
      </c>
      <c r="P45" s="316">
        <f t="shared" si="15"/>
        <v>0</v>
      </c>
      <c r="Q45" s="316">
        <f t="shared" si="15"/>
        <v>0</v>
      </c>
      <c r="R45" s="316">
        <f t="shared" si="15"/>
        <v>0</v>
      </c>
      <c r="S45" s="316">
        <f t="shared" si="15"/>
        <v>0</v>
      </c>
      <c r="T45" s="316">
        <f t="shared" si="15"/>
        <v>0</v>
      </c>
      <c r="U45" s="316">
        <f t="shared" si="15"/>
        <v>0</v>
      </c>
      <c r="V45" s="316">
        <f t="shared" si="16"/>
        <v>0</v>
      </c>
      <c r="W45" s="316">
        <f t="shared" si="16"/>
        <v>0</v>
      </c>
      <c r="X45" s="316">
        <f t="shared" si="16"/>
        <v>0</v>
      </c>
      <c r="Y45" s="316">
        <f t="shared" si="16"/>
        <v>0</v>
      </c>
      <c r="Z45" s="316">
        <f t="shared" si="16"/>
        <v>0</v>
      </c>
      <c r="AA45" s="316">
        <f t="shared" si="16"/>
        <v>0</v>
      </c>
      <c r="AB45" s="316">
        <f t="shared" si="16"/>
        <v>0</v>
      </c>
      <c r="AC45" s="316">
        <f t="shared" si="16"/>
        <v>0</v>
      </c>
      <c r="AD45" s="316">
        <f t="shared" si="16"/>
        <v>0</v>
      </c>
      <c r="AE45" s="316">
        <f t="shared" si="16"/>
        <v>0</v>
      </c>
      <c r="AF45" s="316">
        <f t="shared" si="16"/>
        <v>0</v>
      </c>
      <c r="AG45" s="316">
        <f t="shared" si="16"/>
        <v>0</v>
      </c>
      <c r="AH45" s="316">
        <f t="shared" si="16"/>
        <v>0</v>
      </c>
      <c r="AI45" s="316">
        <f t="shared" si="16"/>
        <v>0</v>
      </c>
      <c r="AJ45" s="316">
        <f t="shared" si="17"/>
        <v>0</v>
      </c>
      <c r="AK45" s="316">
        <f t="shared" si="17"/>
        <v>0</v>
      </c>
      <c r="AL45" s="316">
        <f t="shared" si="17"/>
        <v>0</v>
      </c>
      <c r="AM45" s="316">
        <f t="shared" si="17"/>
        <v>0</v>
      </c>
      <c r="AN45" s="316">
        <f t="shared" si="17"/>
        <v>0</v>
      </c>
      <c r="AO45" s="316">
        <f t="shared" si="17"/>
        <v>0</v>
      </c>
    </row>
    <row r="46" spans="1:46" x14ac:dyDescent="0.2">
      <c r="B46" s="571">
        <f t="shared" si="18"/>
        <v>12</v>
      </c>
      <c r="C46" s="606">
        <f t="shared" si="12"/>
        <v>0</v>
      </c>
      <c r="D46" s="607">
        <f t="shared" si="13"/>
        <v>0</v>
      </c>
      <c r="E46" s="608">
        <f t="shared" si="14"/>
        <v>0</v>
      </c>
      <c r="F46" s="316">
        <f t="shared" si="15"/>
        <v>0</v>
      </c>
      <c r="G46" s="316">
        <f t="shared" si="15"/>
        <v>0</v>
      </c>
      <c r="H46" s="316">
        <f t="shared" si="15"/>
        <v>0</v>
      </c>
      <c r="I46" s="316">
        <f t="shared" si="15"/>
        <v>0</v>
      </c>
      <c r="J46" s="316">
        <f t="shared" si="15"/>
        <v>0</v>
      </c>
      <c r="K46" s="316">
        <f t="shared" si="15"/>
        <v>0</v>
      </c>
      <c r="L46" s="316">
        <f t="shared" si="15"/>
        <v>0</v>
      </c>
      <c r="M46" s="316">
        <f t="shared" si="15"/>
        <v>0</v>
      </c>
      <c r="N46" s="316">
        <f t="shared" si="15"/>
        <v>0</v>
      </c>
      <c r="O46" s="316">
        <f t="shared" si="15"/>
        <v>0</v>
      </c>
      <c r="P46" s="316">
        <f t="shared" si="15"/>
        <v>0</v>
      </c>
      <c r="Q46" s="316">
        <f t="shared" si="15"/>
        <v>0</v>
      </c>
      <c r="R46" s="316">
        <f t="shared" si="15"/>
        <v>0</v>
      </c>
      <c r="S46" s="316">
        <f t="shared" si="15"/>
        <v>0</v>
      </c>
      <c r="T46" s="316">
        <f t="shared" si="15"/>
        <v>0</v>
      </c>
      <c r="U46" s="316">
        <f t="shared" si="15"/>
        <v>0</v>
      </c>
      <c r="V46" s="316">
        <f t="shared" si="16"/>
        <v>0</v>
      </c>
      <c r="W46" s="316">
        <f t="shared" si="16"/>
        <v>0</v>
      </c>
      <c r="X46" s="316">
        <f t="shared" si="16"/>
        <v>0</v>
      </c>
      <c r="Y46" s="316">
        <f t="shared" si="16"/>
        <v>0</v>
      </c>
      <c r="Z46" s="316">
        <f t="shared" si="16"/>
        <v>0</v>
      </c>
      <c r="AA46" s="316">
        <f t="shared" si="16"/>
        <v>0</v>
      </c>
      <c r="AB46" s="316">
        <f t="shared" si="16"/>
        <v>0</v>
      </c>
      <c r="AC46" s="316">
        <f t="shared" si="16"/>
        <v>0</v>
      </c>
      <c r="AD46" s="316">
        <f t="shared" si="16"/>
        <v>0</v>
      </c>
      <c r="AE46" s="316">
        <f t="shared" si="16"/>
        <v>0</v>
      </c>
      <c r="AF46" s="316">
        <f t="shared" si="16"/>
        <v>0</v>
      </c>
      <c r="AG46" s="316">
        <f t="shared" si="16"/>
        <v>0</v>
      </c>
      <c r="AH46" s="316">
        <f t="shared" si="16"/>
        <v>0</v>
      </c>
      <c r="AI46" s="316">
        <f t="shared" si="16"/>
        <v>0</v>
      </c>
      <c r="AJ46" s="316">
        <f t="shared" si="17"/>
        <v>0</v>
      </c>
      <c r="AK46" s="316">
        <f t="shared" si="17"/>
        <v>0</v>
      </c>
      <c r="AL46" s="316">
        <f t="shared" si="17"/>
        <v>0</v>
      </c>
      <c r="AM46" s="316">
        <f t="shared" si="17"/>
        <v>0</v>
      </c>
      <c r="AN46" s="316">
        <f t="shared" si="17"/>
        <v>0</v>
      </c>
      <c r="AO46" s="316">
        <f t="shared" si="17"/>
        <v>0</v>
      </c>
    </row>
    <row r="47" spans="1:46" x14ac:dyDescent="0.2">
      <c r="B47" s="571">
        <f t="shared" si="18"/>
        <v>13</v>
      </c>
      <c r="C47" s="606">
        <f t="shared" si="12"/>
        <v>0</v>
      </c>
      <c r="D47" s="607">
        <f t="shared" si="13"/>
        <v>0</v>
      </c>
      <c r="E47" s="608">
        <f t="shared" si="14"/>
        <v>0</v>
      </c>
      <c r="F47" s="316">
        <f t="shared" si="15"/>
        <v>0</v>
      </c>
      <c r="G47" s="316">
        <f t="shared" si="15"/>
        <v>0</v>
      </c>
      <c r="H47" s="316">
        <f t="shared" si="15"/>
        <v>0</v>
      </c>
      <c r="I47" s="316">
        <f t="shared" si="15"/>
        <v>0</v>
      </c>
      <c r="J47" s="316">
        <f t="shared" si="15"/>
        <v>0</v>
      </c>
      <c r="K47" s="316">
        <f t="shared" si="15"/>
        <v>0</v>
      </c>
      <c r="L47" s="316">
        <f t="shared" si="15"/>
        <v>0</v>
      </c>
      <c r="M47" s="316">
        <f t="shared" si="15"/>
        <v>0</v>
      </c>
      <c r="N47" s="316">
        <f t="shared" si="15"/>
        <v>0</v>
      </c>
      <c r="O47" s="316">
        <f t="shared" si="15"/>
        <v>0</v>
      </c>
      <c r="P47" s="316">
        <f t="shared" si="15"/>
        <v>0</v>
      </c>
      <c r="Q47" s="316">
        <f t="shared" si="15"/>
        <v>0</v>
      </c>
      <c r="R47" s="316">
        <f t="shared" si="15"/>
        <v>0</v>
      </c>
      <c r="S47" s="316">
        <f t="shared" si="15"/>
        <v>0</v>
      </c>
      <c r="T47" s="316">
        <f t="shared" si="15"/>
        <v>0</v>
      </c>
      <c r="U47" s="316">
        <f t="shared" si="15"/>
        <v>0</v>
      </c>
      <c r="V47" s="316">
        <f t="shared" si="16"/>
        <v>0</v>
      </c>
      <c r="W47" s="316">
        <f t="shared" si="16"/>
        <v>0</v>
      </c>
      <c r="X47" s="316">
        <f t="shared" si="16"/>
        <v>0</v>
      </c>
      <c r="Y47" s="316">
        <f t="shared" si="16"/>
        <v>0</v>
      </c>
      <c r="Z47" s="316">
        <f t="shared" si="16"/>
        <v>0</v>
      </c>
      <c r="AA47" s="316">
        <f t="shared" si="16"/>
        <v>0</v>
      </c>
      <c r="AB47" s="316">
        <f t="shared" si="16"/>
        <v>0</v>
      </c>
      <c r="AC47" s="316">
        <f t="shared" si="16"/>
        <v>0</v>
      </c>
      <c r="AD47" s="316">
        <f t="shared" si="16"/>
        <v>0</v>
      </c>
      <c r="AE47" s="316">
        <f t="shared" si="16"/>
        <v>0</v>
      </c>
      <c r="AF47" s="316">
        <f t="shared" si="16"/>
        <v>0</v>
      </c>
      <c r="AG47" s="316">
        <f t="shared" si="16"/>
        <v>0</v>
      </c>
      <c r="AH47" s="316">
        <f t="shared" si="16"/>
        <v>0</v>
      </c>
      <c r="AI47" s="316">
        <f t="shared" si="16"/>
        <v>0</v>
      </c>
      <c r="AJ47" s="316">
        <f t="shared" si="17"/>
        <v>0</v>
      </c>
      <c r="AK47" s="316">
        <f t="shared" si="17"/>
        <v>0</v>
      </c>
      <c r="AL47" s="316">
        <f t="shared" si="17"/>
        <v>0</v>
      </c>
      <c r="AM47" s="316">
        <f t="shared" si="17"/>
        <v>0</v>
      </c>
      <c r="AN47" s="316">
        <f t="shared" si="17"/>
        <v>0</v>
      </c>
      <c r="AO47" s="316">
        <f t="shared" si="17"/>
        <v>0</v>
      </c>
    </row>
    <row r="48" spans="1:46" x14ac:dyDescent="0.2">
      <c r="B48" s="571">
        <f t="shared" si="18"/>
        <v>14</v>
      </c>
      <c r="C48" s="606">
        <f t="shared" si="12"/>
        <v>0</v>
      </c>
      <c r="D48" s="607">
        <f t="shared" si="13"/>
        <v>0</v>
      </c>
      <c r="E48" s="608">
        <f t="shared" si="14"/>
        <v>0</v>
      </c>
      <c r="F48" s="316">
        <f t="shared" si="15"/>
        <v>0</v>
      </c>
      <c r="G48" s="316">
        <f t="shared" si="15"/>
        <v>0</v>
      </c>
      <c r="H48" s="316">
        <f t="shared" si="15"/>
        <v>0</v>
      </c>
      <c r="I48" s="316">
        <f t="shared" si="15"/>
        <v>0</v>
      </c>
      <c r="J48" s="316">
        <f t="shared" si="15"/>
        <v>0</v>
      </c>
      <c r="K48" s="316">
        <f t="shared" si="15"/>
        <v>0</v>
      </c>
      <c r="L48" s="316">
        <f t="shared" si="15"/>
        <v>0</v>
      </c>
      <c r="M48" s="316">
        <f t="shared" si="15"/>
        <v>0</v>
      </c>
      <c r="N48" s="316">
        <f t="shared" si="15"/>
        <v>0</v>
      </c>
      <c r="O48" s="316">
        <f t="shared" si="15"/>
        <v>0</v>
      </c>
      <c r="P48" s="316">
        <f t="shared" si="15"/>
        <v>0</v>
      </c>
      <c r="Q48" s="316">
        <f t="shared" si="15"/>
        <v>0</v>
      </c>
      <c r="R48" s="316">
        <f t="shared" si="15"/>
        <v>0</v>
      </c>
      <c r="S48" s="316">
        <f t="shared" si="15"/>
        <v>0</v>
      </c>
      <c r="T48" s="316">
        <f t="shared" si="15"/>
        <v>0</v>
      </c>
      <c r="U48" s="316">
        <f t="shared" si="15"/>
        <v>0</v>
      </c>
      <c r="V48" s="316">
        <f t="shared" si="16"/>
        <v>0</v>
      </c>
      <c r="W48" s="316">
        <f t="shared" si="16"/>
        <v>0</v>
      </c>
      <c r="X48" s="316">
        <f t="shared" si="16"/>
        <v>0</v>
      </c>
      <c r="Y48" s="316">
        <f t="shared" si="16"/>
        <v>0</v>
      </c>
      <c r="Z48" s="316">
        <f t="shared" si="16"/>
        <v>0</v>
      </c>
      <c r="AA48" s="316">
        <f t="shared" si="16"/>
        <v>0</v>
      </c>
      <c r="AB48" s="316">
        <f t="shared" si="16"/>
        <v>0</v>
      </c>
      <c r="AC48" s="316">
        <f t="shared" si="16"/>
        <v>0</v>
      </c>
      <c r="AD48" s="316">
        <f t="shared" si="16"/>
        <v>0</v>
      </c>
      <c r="AE48" s="316">
        <f t="shared" si="16"/>
        <v>0</v>
      </c>
      <c r="AF48" s="316">
        <f t="shared" si="16"/>
        <v>0</v>
      </c>
      <c r="AG48" s="316">
        <f t="shared" si="16"/>
        <v>0</v>
      </c>
      <c r="AH48" s="316">
        <f t="shared" si="16"/>
        <v>0</v>
      </c>
      <c r="AI48" s="316">
        <f t="shared" si="16"/>
        <v>0</v>
      </c>
      <c r="AJ48" s="316">
        <f t="shared" si="17"/>
        <v>0</v>
      </c>
      <c r="AK48" s="316">
        <f t="shared" si="17"/>
        <v>0</v>
      </c>
      <c r="AL48" s="316">
        <f t="shared" si="17"/>
        <v>0</v>
      </c>
      <c r="AM48" s="316">
        <f t="shared" si="17"/>
        <v>0</v>
      </c>
      <c r="AN48" s="316">
        <f t="shared" si="17"/>
        <v>0</v>
      </c>
      <c r="AO48" s="316">
        <f t="shared" si="17"/>
        <v>0</v>
      </c>
    </row>
    <row r="49" spans="2:41" x14ac:dyDescent="0.2">
      <c r="B49" s="571">
        <f t="shared" si="18"/>
        <v>15</v>
      </c>
      <c r="C49" s="606">
        <f t="shared" si="12"/>
        <v>0</v>
      </c>
      <c r="D49" s="607">
        <f t="shared" si="13"/>
        <v>0</v>
      </c>
      <c r="E49" s="608">
        <f t="shared" si="14"/>
        <v>0</v>
      </c>
      <c r="F49" s="316">
        <f t="shared" si="15"/>
        <v>0</v>
      </c>
      <c r="G49" s="316">
        <f t="shared" si="15"/>
        <v>0</v>
      </c>
      <c r="H49" s="316">
        <f t="shared" si="15"/>
        <v>0</v>
      </c>
      <c r="I49" s="316">
        <f t="shared" si="15"/>
        <v>0</v>
      </c>
      <c r="J49" s="316">
        <f t="shared" si="15"/>
        <v>0</v>
      </c>
      <c r="K49" s="316">
        <f t="shared" si="15"/>
        <v>0</v>
      </c>
      <c r="L49" s="316">
        <f t="shared" si="15"/>
        <v>0</v>
      </c>
      <c r="M49" s="316">
        <f t="shared" si="15"/>
        <v>0</v>
      </c>
      <c r="N49" s="316">
        <f t="shared" si="15"/>
        <v>0</v>
      </c>
      <c r="O49" s="316">
        <f t="shared" si="15"/>
        <v>0</v>
      </c>
      <c r="P49" s="316">
        <f t="shared" si="15"/>
        <v>0</v>
      </c>
      <c r="Q49" s="316">
        <f t="shared" si="15"/>
        <v>0</v>
      </c>
      <c r="R49" s="316">
        <f t="shared" si="15"/>
        <v>0</v>
      </c>
      <c r="S49" s="316">
        <f t="shared" si="15"/>
        <v>0</v>
      </c>
      <c r="T49" s="316">
        <f t="shared" si="15"/>
        <v>0</v>
      </c>
      <c r="U49" s="316">
        <f t="shared" si="15"/>
        <v>0</v>
      </c>
      <c r="V49" s="316">
        <f t="shared" si="16"/>
        <v>0</v>
      </c>
      <c r="W49" s="316">
        <f t="shared" si="16"/>
        <v>0</v>
      </c>
      <c r="X49" s="316">
        <f t="shared" si="16"/>
        <v>0</v>
      </c>
      <c r="Y49" s="316">
        <f t="shared" si="16"/>
        <v>0</v>
      </c>
      <c r="Z49" s="316">
        <f t="shared" si="16"/>
        <v>0</v>
      </c>
      <c r="AA49" s="316">
        <f t="shared" si="16"/>
        <v>0</v>
      </c>
      <c r="AB49" s="316">
        <f t="shared" si="16"/>
        <v>0</v>
      </c>
      <c r="AC49" s="316">
        <f t="shared" si="16"/>
        <v>0</v>
      </c>
      <c r="AD49" s="316">
        <f t="shared" si="16"/>
        <v>0</v>
      </c>
      <c r="AE49" s="316">
        <f t="shared" si="16"/>
        <v>0</v>
      </c>
      <c r="AF49" s="316">
        <f t="shared" si="16"/>
        <v>0</v>
      </c>
      <c r="AG49" s="316">
        <f t="shared" si="16"/>
        <v>0</v>
      </c>
      <c r="AH49" s="316">
        <f t="shared" si="16"/>
        <v>0</v>
      </c>
      <c r="AI49" s="316">
        <f t="shared" si="16"/>
        <v>0</v>
      </c>
      <c r="AJ49" s="316">
        <f t="shared" si="17"/>
        <v>0</v>
      </c>
      <c r="AK49" s="316">
        <f t="shared" si="17"/>
        <v>0</v>
      </c>
      <c r="AL49" s="316">
        <f t="shared" si="17"/>
        <v>0</v>
      </c>
      <c r="AM49" s="316">
        <f t="shared" si="17"/>
        <v>0</v>
      </c>
      <c r="AN49" s="316">
        <f t="shared" si="17"/>
        <v>0</v>
      </c>
      <c r="AO49" s="316">
        <f t="shared" si="17"/>
        <v>0</v>
      </c>
    </row>
    <row r="50" spans="2:41" x14ac:dyDescent="0.2">
      <c r="B50" s="571">
        <f t="shared" si="18"/>
        <v>16</v>
      </c>
      <c r="C50" s="606">
        <f t="shared" si="12"/>
        <v>0</v>
      </c>
      <c r="D50" s="607">
        <f t="shared" si="13"/>
        <v>0</v>
      </c>
      <c r="E50" s="608">
        <f t="shared" si="14"/>
        <v>0</v>
      </c>
      <c r="F50" s="316">
        <f t="shared" si="15"/>
        <v>0</v>
      </c>
      <c r="G50" s="316">
        <f t="shared" si="15"/>
        <v>0</v>
      </c>
      <c r="H50" s="316">
        <f t="shared" si="15"/>
        <v>0</v>
      </c>
      <c r="I50" s="316">
        <f t="shared" si="15"/>
        <v>0</v>
      </c>
      <c r="J50" s="316">
        <f t="shared" si="15"/>
        <v>0</v>
      </c>
      <c r="K50" s="316">
        <f t="shared" si="15"/>
        <v>0</v>
      </c>
      <c r="L50" s="316">
        <f t="shared" si="15"/>
        <v>0</v>
      </c>
      <c r="M50" s="316">
        <f t="shared" si="15"/>
        <v>0</v>
      </c>
      <c r="N50" s="316">
        <f t="shared" si="15"/>
        <v>0</v>
      </c>
      <c r="O50" s="316">
        <f t="shared" si="15"/>
        <v>0</v>
      </c>
      <c r="P50" s="316">
        <f t="shared" si="15"/>
        <v>0</v>
      </c>
      <c r="Q50" s="316">
        <f t="shared" si="15"/>
        <v>0</v>
      </c>
      <c r="R50" s="316">
        <f t="shared" si="15"/>
        <v>0</v>
      </c>
      <c r="S50" s="316">
        <f t="shared" si="15"/>
        <v>0</v>
      </c>
      <c r="T50" s="316">
        <f t="shared" si="15"/>
        <v>0</v>
      </c>
      <c r="U50" s="316">
        <f t="shared" ref="P50:AE65" si="19">(IF($B50&lt;=U$31,(HLOOKUP((U$31-$B50+1),$F$31:$AO$33,3,FALSE)),0))*HLOOKUP($B50,$F$4:$AO$23,20,FALSE)</f>
        <v>0</v>
      </c>
      <c r="V50" s="316">
        <f t="shared" si="19"/>
        <v>0</v>
      </c>
      <c r="W50" s="316">
        <f t="shared" si="19"/>
        <v>0</v>
      </c>
      <c r="X50" s="316">
        <f t="shared" si="19"/>
        <v>0</v>
      </c>
      <c r="Y50" s="316">
        <f t="shared" si="19"/>
        <v>0</v>
      </c>
      <c r="Z50" s="316">
        <f t="shared" si="16"/>
        <v>0</v>
      </c>
      <c r="AA50" s="316">
        <f t="shared" si="16"/>
        <v>0</v>
      </c>
      <c r="AB50" s="316">
        <f t="shared" si="16"/>
        <v>0</v>
      </c>
      <c r="AC50" s="316">
        <f t="shared" si="16"/>
        <v>0</v>
      </c>
      <c r="AD50" s="316">
        <f t="shared" si="16"/>
        <v>0</v>
      </c>
      <c r="AE50" s="316">
        <f t="shared" si="16"/>
        <v>0</v>
      </c>
      <c r="AF50" s="316">
        <f t="shared" si="16"/>
        <v>0</v>
      </c>
      <c r="AG50" s="316">
        <f t="shared" si="16"/>
        <v>0</v>
      </c>
      <c r="AH50" s="316">
        <f t="shared" si="16"/>
        <v>0</v>
      </c>
      <c r="AI50" s="316">
        <f t="shared" si="16"/>
        <v>0</v>
      </c>
      <c r="AJ50" s="316">
        <f t="shared" si="17"/>
        <v>0</v>
      </c>
      <c r="AK50" s="316">
        <f t="shared" si="17"/>
        <v>0</v>
      </c>
      <c r="AL50" s="316">
        <f t="shared" si="17"/>
        <v>0</v>
      </c>
      <c r="AM50" s="316">
        <f t="shared" si="17"/>
        <v>0</v>
      </c>
      <c r="AN50" s="316">
        <f t="shared" si="17"/>
        <v>0</v>
      </c>
      <c r="AO50" s="316">
        <f t="shared" si="17"/>
        <v>0</v>
      </c>
    </row>
    <row r="51" spans="2:41" x14ac:dyDescent="0.2">
      <c r="B51" s="571">
        <f t="shared" si="18"/>
        <v>17</v>
      </c>
      <c r="C51" s="606">
        <f t="shared" si="12"/>
        <v>0</v>
      </c>
      <c r="D51" s="607">
        <f t="shared" si="13"/>
        <v>0</v>
      </c>
      <c r="E51" s="608">
        <f t="shared" si="14"/>
        <v>0</v>
      </c>
      <c r="F51" s="316">
        <f t="shared" ref="F51:U66" si="20">(IF($B51&lt;=F$31,(HLOOKUP((F$31-$B51+1),$F$31:$AO$33,3,FALSE)),0))*HLOOKUP($B51,$F$4:$AO$23,20,FALSE)</f>
        <v>0</v>
      </c>
      <c r="G51" s="316">
        <f t="shared" si="20"/>
        <v>0</v>
      </c>
      <c r="H51" s="316">
        <f t="shared" si="20"/>
        <v>0</v>
      </c>
      <c r="I51" s="316">
        <f t="shared" si="20"/>
        <v>0</v>
      </c>
      <c r="J51" s="316">
        <f t="shared" si="20"/>
        <v>0</v>
      </c>
      <c r="K51" s="316">
        <f t="shared" si="20"/>
        <v>0</v>
      </c>
      <c r="L51" s="316">
        <f t="shared" si="20"/>
        <v>0</v>
      </c>
      <c r="M51" s="316">
        <f t="shared" si="20"/>
        <v>0</v>
      </c>
      <c r="N51" s="316">
        <f t="shared" si="20"/>
        <v>0</v>
      </c>
      <c r="O51" s="316">
        <f t="shared" si="20"/>
        <v>0</v>
      </c>
      <c r="P51" s="316">
        <f t="shared" si="19"/>
        <v>0</v>
      </c>
      <c r="Q51" s="316">
        <f t="shared" si="19"/>
        <v>0</v>
      </c>
      <c r="R51" s="316">
        <f t="shared" si="19"/>
        <v>0</v>
      </c>
      <c r="S51" s="316">
        <f t="shared" si="19"/>
        <v>0</v>
      </c>
      <c r="T51" s="316">
        <f t="shared" si="19"/>
        <v>0</v>
      </c>
      <c r="U51" s="316">
        <f t="shared" si="19"/>
        <v>0</v>
      </c>
      <c r="V51" s="316">
        <f t="shared" si="19"/>
        <v>0</v>
      </c>
      <c r="W51" s="316">
        <f t="shared" si="19"/>
        <v>0</v>
      </c>
      <c r="X51" s="316">
        <f t="shared" si="19"/>
        <v>0</v>
      </c>
      <c r="Y51" s="316">
        <f t="shared" si="19"/>
        <v>0</v>
      </c>
      <c r="Z51" s="316">
        <f t="shared" si="19"/>
        <v>0</v>
      </c>
      <c r="AA51" s="316">
        <f t="shared" si="19"/>
        <v>0</v>
      </c>
      <c r="AB51" s="316">
        <f t="shared" si="19"/>
        <v>0</v>
      </c>
      <c r="AC51" s="316">
        <f t="shared" si="19"/>
        <v>0</v>
      </c>
      <c r="AD51" s="316">
        <f t="shared" si="19"/>
        <v>0</v>
      </c>
      <c r="AE51" s="316">
        <f t="shared" si="19"/>
        <v>0</v>
      </c>
      <c r="AF51" s="316">
        <f t="shared" ref="Z51:AO66" si="21">(IF($B51&lt;=AF$31,(HLOOKUP((AF$31-$B51+1),$F$31:$AO$33,3,FALSE)),0))*HLOOKUP($B51,$F$4:$AO$23,20,FALSE)</f>
        <v>0</v>
      </c>
      <c r="AG51" s="316">
        <f t="shared" si="21"/>
        <v>0</v>
      </c>
      <c r="AH51" s="316">
        <f t="shared" si="21"/>
        <v>0</v>
      </c>
      <c r="AI51" s="316">
        <f t="shared" si="21"/>
        <v>0</v>
      </c>
      <c r="AJ51" s="316">
        <f t="shared" si="21"/>
        <v>0</v>
      </c>
      <c r="AK51" s="316">
        <f t="shared" si="21"/>
        <v>0</v>
      </c>
      <c r="AL51" s="316">
        <f t="shared" si="21"/>
        <v>0</v>
      </c>
      <c r="AM51" s="316">
        <f t="shared" si="21"/>
        <v>0</v>
      </c>
      <c r="AN51" s="316">
        <f t="shared" si="21"/>
        <v>0</v>
      </c>
      <c r="AO51" s="316">
        <f t="shared" si="21"/>
        <v>0</v>
      </c>
    </row>
    <row r="52" spans="2:41" x14ac:dyDescent="0.2">
      <c r="B52" s="571">
        <f t="shared" si="18"/>
        <v>18</v>
      </c>
      <c r="C52" s="606">
        <f t="shared" si="12"/>
        <v>0</v>
      </c>
      <c r="D52" s="607">
        <f t="shared" si="13"/>
        <v>0</v>
      </c>
      <c r="E52" s="608">
        <f t="shared" si="14"/>
        <v>0</v>
      </c>
      <c r="F52" s="316">
        <f t="shared" si="20"/>
        <v>0</v>
      </c>
      <c r="G52" s="316">
        <f t="shared" si="20"/>
        <v>0</v>
      </c>
      <c r="H52" s="316">
        <f t="shared" si="20"/>
        <v>0</v>
      </c>
      <c r="I52" s="316">
        <f t="shared" si="20"/>
        <v>0</v>
      </c>
      <c r="J52" s="316">
        <f t="shared" si="20"/>
        <v>0</v>
      </c>
      <c r="K52" s="316">
        <f t="shared" si="20"/>
        <v>0</v>
      </c>
      <c r="L52" s="316">
        <f t="shared" si="20"/>
        <v>0</v>
      </c>
      <c r="M52" s="316">
        <f t="shared" si="20"/>
        <v>0</v>
      </c>
      <c r="N52" s="316">
        <f t="shared" si="20"/>
        <v>0</v>
      </c>
      <c r="O52" s="316">
        <f t="shared" si="20"/>
        <v>0</v>
      </c>
      <c r="P52" s="316">
        <f t="shared" si="19"/>
        <v>0</v>
      </c>
      <c r="Q52" s="316">
        <f t="shared" si="19"/>
        <v>0</v>
      </c>
      <c r="R52" s="316">
        <f t="shared" si="19"/>
        <v>0</v>
      </c>
      <c r="S52" s="316">
        <f t="shared" si="19"/>
        <v>0</v>
      </c>
      <c r="T52" s="316">
        <f t="shared" si="19"/>
        <v>0</v>
      </c>
      <c r="U52" s="316">
        <f t="shared" si="19"/>
        <v>0</v>
      </c>
      <c r="V52" s="316">
        <f t="shared" si="19"/>
        <v>0</v>
      </c>
      <c r="W52" s="316">
        <f t="shared" si="19"/>
        <v>0</v>
      </c>
      <c r="X52" s="316">
        <f t="shared" si="19"/>
        <v>0</v>
      </c>
      <c r="Y52" s="316">
        <f t="shared" si="19"/>
        <v>0</v>
      </c>
      <c r="Z52" s="316">
        <f t="shared" si="21"/>
        <v>0</v>
      </c>
      <c r="AA52" s="316">
        <f t="shared" si="21"/>
        <v>0</v>
      </c>
      <c r="AB52" s="316">
        <f t="shared" si="21"/>
        <v>0</v>
      </c>
      <c r="AC52" s="316">
        <f t="shared" si="21"/>
        <v>0</v>
      </c>
      <c r="AD52" s="316">
        <f t="shared" si="21"/>
        <v>0</v>
      </c>
      <c r="AE52" s="316">
        <f t="shared" si="21"/>
        <v>0</v>
      </c>
      <c r="AF52" s="316">
        <f t="shared" si="21"/>
        <v>0</v>
      </c>
      <c r="AG52" s="316">
        <f t="shared" si="21"/>
        <v>0</v>
      </c>
      <c r="AH52" s="316">
        <f t="shared" si="21"/>
        <v>0</v>
      </c>
      <c r="AI52" s="316">
        <f t="shared" si="21"/>
        <v>0</v>
      </c>
      <c r="AJ52" s="316">
        <f t="shared" si="21"/>
        <v>0</v>
      </c>
      <c r="AK52" s="316">
        <f t="shared" si="21"/>
        <v>0</v>
      </c>
      <c r="AL52" s="316">
        <f t="shared" si="21"/>
        <v>0</v>
      </c>
      <c r="AM52" s="316">
        <f t="shared" si="21"/>
        <v>0</v>
      </c>
      <c r="AN52" s="316">
        <f t="shared" si="21"/>
        <v>0</v>
      </c>
      <c r="AO52" s="316">
        <f t="shared" si="21"/>
        <v>0</v>
      </c>
    </row>
    <row r="53" spans="2:41" x14ac:dyDescent="0.2">
      <c r="B53" s="571">
        <f t="shared" si="18"/>
        <v>19</v>
      </c>
      <c r="C53" s="606">
        <f t="shared" si="12"/>
        <v>0</v>
      </c>
      <c r="D53" s="607">
        <f t="shared" si="13"/>
        <v>0</v>
      </c>
      <c r="E53" s="608">
        <f t="shared" si="14"/>
        <v>0</v>
      </c>
      <c r="F53" s="316">
        <f t="shared" si="20"/>
        <v>0</v>
      </c>
      <c r="G53" s="316">
        <f t="shared" si="20"/>
        <v>0</v>
      </c>
      <c r="H53" s="316">
        <f t="shared" si="20"/>
        <v>0</v>
      </c>
      <c r="I53" s="316">
        <f t="shared" si="20"/>
        <v>0</v>
      </c>
      <c r="J53" s="316">
        <f t="shared" si="20"/>
        <v>0</v>
      </c>
      <c r="K53" s="316">
        <f t="shared" si="20"/>
        <v>0</v>
      </c>
      <c r="L53" s="316">
        <f t="shared" si="20"/>
        <v>0</v>
      </c>
      <c r="M53" s="316">
        <f t="shared" si="20"/>
        <v>0</v>
      </c>
      <c r="N53" s="316">
        <f t="shared" si="20"/>
        <v>0</v>
      </c>
      <c r="O53" s="316">
        <f t="shared" si="20"/>
        <v>0</v>
      </c>
      <c r="P53" s="316">
        <f t="shared" si="19"/>
        <v>0</v>
      </c>
      <c r="Q53" s="316">
        <f t="shared" si="19"/>
        <v>0</v>
      </c>
      <c r="R53" s="316">
        <f t="shared" si="19"/>
        <v>0</v>
      </c>
      <c r="S53" s="316">
        <f t="shared" si="19"/>
        <v>0</v>
      </c>
      <c r="T53" s="316">
        <f t="shared" si="19"/>
        <v>0</v>
      </c>
      <c r="U53" s="316">
        <f t="shared" si="19"/>
        <v>0</v>
      </c>
      <c r="V53" s="316">
        <f t="shared" si="19"/>
        <v>0</v>
      </c>
      <c r="W53" s="316">
        <f t="shared" si="19"/>
        <v>0</v>
      </c>
      <c r="X53" s="316">
        <f t="shared" si="19"/>
        <v>0</v>
      </c>
      <c r="Y53" s="316">
        <f t="shared" si="19"/>
        <v>0</v>
      </c>
      <c r="Z53" s="316">
        <f t="shared" si="21"/>
        <v>0</v>
      </c>
      <c r="AA53" s="316">
        <f t="shared" si="21"/>
        <v>0</v>
      </c>
      <c r="AB53" s="316">
        <f t="shared" si="21"/>
        <v>0</v>
      </c>
      <c r="AC53" s="316">
        <f t="shared" si="21"/>
        <v>0</v>
      </c>
      <c r="AD53" s="316">
        <f t="shared" si="21"/>
        <v>0</v>
      </c>
      <c r="AE53" s="316">
        <f t="shared" si="21"/>
        <v>0</v>
      </c>
      <c r="AF53" s="316">
        <f t="shared" si="21"/>
        <v>0</v>
      </c>
      <c r="AG53" s="316">
        <f t="shared" si="21"/>
        <v>0</v>
      </c>
      <c r="AH53" s="316">
        <f t="shared" si="21"/>
        <v>0</v>
      </c>
      <c r="AI53" s="316">
        <f t="shared" si="21"/>
        <v>0</v>
      </c>
      <c r="AJ53" s="316">
        <f t="shared" si="21"/>
        <v>0</v>
      </c>
      <c r="AK53" s="316">
        <f t="shared" si="21"/>
        <v>0</v>
      </c>
      <c r="AL53" s="316">
        <f t="shared" si="21"/>
        <v>0</v>
      </c>
      <c r="AM53" s="316">
        <f t="shared" si="21"/>
        <v>0</v>
      </c>
      <c r="AN53" s="316">
        <f t="shared" si="21"/>
        <v>0</v>
      </c>
      <c r="AO53" s="316">
        <f t="shared" si="21"/>
        <v>0</v>
      </c>
    </row>
    <row r="54" spans="2:41" x14ac:dyDescent="0.2">
      <c r="B54" s="571">
        <f t="shared" si="18"/>
        <v>20</v>
      </c>
      <c r="C54" s="606">
        <f t="shared" si="12"/>
        <v>0</v>
      </c>
      <c r="D54" s="607">
        <f t="shared" si="13"/>
        <v>0</v>
      </c>
      <c r="E54" s="608">
        <f t="shared" si="14"/>
        <v>0</v>
      </c>
      <c r="F54" s="316">
        <f t="shared" si="20"/>
        <v>0</v>
      </c>
      <c r="G54" s="316">
        <f t="shared" si="20"/>
        <v>0</v>
      </c>
      <c r="H54" s="316">
        <f t="shared" si="20"/>
        <v>0</v>
      </c>
      <c r="I54" s="316">
        <f t="shared" si="20"/>
        <v>0</v>
      </c>
      <c r="J54" s="316">
        <f t="shared" si="20"/>
        <v>0</v>
      </c>
      <c r="K54" s="316">
        <f t="shared" si="20"/>
        <v>0</v>
      </c>
      <c r="L54" s="316">
        <f t="shared" si="20"/>
        <v>0</v>
      </c>
      <c r="M54" s="316">
        <f t="shared" si="20"/>
        <v>0</v>
      </c>
      <c r="N54" s="316">
        <f t="shared" si="20"/>
        <v>0</v>
      </c>
      <c r="O54" s="316">
        <f t="shared" si="20"/>
        <v>0</v>
      </c>
      <c r="P54" s="316">
        <f t="shared" si="19"/>
        <v>0</v>
      </c>
      <c r="Q54" s="316">
        <f t="shared" si="19"/>
        <v>0</v>
      </c>
      <c r="R54" s="316">
        <f t="shared" si="19"/>
        <v>0</v>
      </c>
      <c r="S54" s="316">
        <f t="shared" si="19"/>
        <v>0</v>
      </c>
      <c r="T54" s="316">
        <f t="shared" si="19"/>
        <v>0</v>
      </c>
      <c r="U54" s="316">
        <f t="shared" si="19"/>
        <v>0</v>
      </c>
      <c r="V54" s="316">
        <f t="shared" si="19"/>
        <v>0</v>
      </c>
      <c r="W54" s="316">
        <f t="shared" si="19"/>
        <v>0</v>
      </c>
      <c r="X54" s="316">
        <f t="shared" si="19"/>
        <v>0</v>
      </c>
      <c r="Y54" s="316">
        <f t="shared" si="19"/>
        <v>0</v>
      </c>
      <c r="Z54" s="316">
        <f t="shared" si="21"/>
        <v>0</v>
      </c>
      <c r="AA54" s="316">
        <f t="shared" si="21"/>
        <v>0</v>
      </c>
      <c r="AB54" s="316">
        <f t="shared" si="21"/>
        <v>0</v>
      </c>
      <c r="AC54" s="316">
        <f t="shared" si="21"/>
        <v>0</v>
      </c>
      <c r="AD54" s="316">
        <f t="shared" si="21"/>
        <v>0</v>
      </c>
      <c r="AE54" s="316">
        <f t="shared" si="21"/>
        <v>0</v>
      </c>
      <c r="AF54" s="316">
        <f t="shared" si="21"/>
        <v>0</v>
      </c>
      <c r="AG54" s="316">
        <f t="shared" si="21"/>
        <v>0</v>
      </c>
      <c r="AH54" s="316">
        <f t="shared" si="21"/>
        <v>0</v>
      </c>
      <c r="AI54" s="316">
        <f t="shared" si="21"/>
        <v>0</v>
      </c>
      <c r="AJ54" s="316">
        <f t="shared" si="21"/>
        <v>0</v>
      </c>
      <c r="AK54" s="316">
        <f t="shared" si="21"/>
        <v>0</v>
      </c>
      <c r="AL54" s="316">
        <f t="shared" si="21"/>
        <v>0</v>
      </c>
      <c r="AM54" s="316">
        <f t="shared" si="21"/>
        <v>0</v>
      </c>
      <c r="AN54" s="316">
        <f t="shared" si="21"/>
        <v>0</v>
      </c>
      <c r="AO54" s="316">
        <f t="shared" si="21"/>
        <v>0</v>
      </c>
    </row>
    <row r="55" spans="2:41" x14ac:dyDescent="0.2">
      <c r="B55" s="571">
        <f t="shared" si="18"/>
        <v>21</v>
      </c>
      <c r="C55" s="606">
        <f t="shared" si="12"/>
        <v>0</v>
      </c>
      <c r="D55" s="607">
        <f t="shared" si="13"/>
        <v>0</v>
      </c>
      <c r="E55" s="608">
        <f t="shared" si="14"/>
        <v>0</v>
      </c>
      <c r="F55" s="316">
        <f t="shared" si="20"/>
        <v>0</v>
      </c>
      <c r="G55" s="316">
        <f t="shared" si="20"/>
        <v>0</v>
      </c>
      <c r="H55" s="316">
        <f t="shared" si="20"/>
        <v>0</v>
      </c>
      <c r="I55" s="316">
        <f t="shared" si="20"/>
        <v>0</v>
      </c>
      <c r="J55" s="316">
        <f t="shared" si="20"/>
        <v>0</v>
      </c>
      <c r="K55" s="316">
        <f t="shared" si="20"/>
        <v>0</v>
      </c>
      <c r="L55" s="316">
        <f t="shared" si="20"/>
        <v>0</v>
      </c>
      <c r="M55" s="316">
        <f t="shared" si="20"/>
        <v>0</v>
      </c>
      <c r="N55" s="316">
        <f t="shared" si="20"/>
        <v>0</v>
      </c>
      <c r="O55" s="316">
        <f t="shared" si="20"/>
        <v>0</v>
      </c>
      <c r="P55" s="316">
        <f t="shared" si="19"/>
        <v>0</v>
      </c>
      <c r="Q55" s="316">
        <f t="shared" si="19"/>
        <v>0</v>
      </c>
      <c r="R55" s="316">
        <f t="shared" si="19"/>
        <v>0</v>
      </c>
      <c r="S55" s="316">
        <f t="shared" si="19"/>
        <v>0</v>
      </c>
      <c r="T55" s="316">
        <f t="shared" si="19"/>
        <v>0</v>
      </c>
      <c r="U55" s="316">
        <f t="shared" si="19"/>
        <v>0</v>
      </c>
      <c r="V55" s="316">
        <f t="shared" si="19"/>
        <v>0</v>
      </c>
      <c r="W55" s="316">
        <f t="shared" si="19"/>
        <v>0</v>
      </c>
      <c r="X55" s="316">
        <f t="shared" si="19"/>
        <v>0</v>
      </c>
      <c r="Y55" s="316">
        <f t="shared" si="19"/>
        <v>0</v>
      </c>
      <c r="Z55" s="316">
        <f t="shared" si="21"/>
        <v>0</v>
      </c>
      <c r="AA55" s="316">
        <f t="shared" si="21"/>
        <v>0</v>
      </c>
      <c r="AB55" s="316">
        <f t="shared" si="21"/>
        <v>0</v>
      </c>
      <c r="AC55" s="316">
        <f t="shared" si="21"/>
        <v>0</v>
      </c>
      <c r="AD55" s="316">
        <f t="shared" si="21"/>
        <v>0</v>
      </c>
      <c r="AE55" s="316">
        <f t="shared" si="21"/>
        <v>0</v>
      </c>
      <c r="AF55" s="316">
        <f t="shared" si="21"/>
        <v>0</v>
      </c>
      <c r="AG55" s="316">
        <f t="shared" si="21"/>
        <v>0</v>
      </c>
      <c r="AH55" s="316">
        <f t="shared" si="21"/>
        <v>0</v>
      </c>
      <c r="AI55" s="316">
        <f t="shared" si="21"/>
        <v>0</v>
      </c>
      <c r="AJ55" s="316">
        <f t="shared" si="21"/>
        <v>0</v>
      </c>
      <c r="AK55" s="316">
        <f t="shared" si="21"/>
        <v>0</v>
      </c>
      <c r="AL55" s="316">
        <f t="shared" si="21"/>
        <v>0</v>
      </c>
      <c r="AM55" s="316">
        <f t="shared" si="21"/>
        <v>0</v>
      </c>
      <c r="AN55" s="316">
        <f t="shared" si="21"/>
        <v>0</v>
      </c>
      <c r="AO55" s="316">
        <f t="shared" si="21"/>
        <v>0</v>
      </c>
    </row>
    <row r="56" spans="2:41" x14ac:dyDescent="0.2">
      <c r="B56" s="571">
        <f t="shared" si="18"/>
        <v>22</v>
      </c>
      <c r="C56" s="606">
        <f t="shared" si="12"/>
        <v>0</v>
      </c>
      <c r="D56" s="607">
        <f t="shared" si="13"/>
        <v>0</v>
      </c>
      <c r="E56" s="608">
        <f t="shared" si="14"/>
        <v>0</v>
      </c>
      <c r="F56" s="316">
        <f t="shared" si="20"/>
        <v>0</v>
      </c>
      <c r="G56" s="316">
        <f t="shared" si="20"/>
        <v>0</v>
      </c>
      <c r="H56" s="316">
        <f t="shared" si="20"/>
        <v>0</v>
      </c>
      <c r="I56" s="316">
        <f t="shared" si="20"/>
        <v>0</v>
      </c>
      <c r="J56" s="316">
        <f t="shared" si="20"/>
        <v>0</v>
      </c>
      <c r="K56" s="316">
        <f t="shared" si="20"/>
        <v>0</v>
      </c>
      <c r="L56" s="316">
        <f t="shared" si="20"/>
        <v>0</v>
      </c>
      <c r="M56" s="316">
        <f t="shared" si="20"/>
        <v>0</v>
      </c>
      <c r="N56" s="316">
        <f t="shared" si="20"/>
        <v>0</v>
      </c>
      <c r="O56" s="316">
        <f t="shared" si="20"/>
        <v>0</v>
      </c>
      <c r="P56" s="316">
        <f t="shared" si="19"/>
        <v>0</v>
      </c>
      <c r="Q56" s="316">
        <f t="shared" si="19"/>
        <v>0</v>
      </c>
      <c r="R56" s="316">
        <f t="shared" si="19"/>
        <v>0</v>
      </c>
      <c r="S56" s="316">
        <f t="shared" si="19"/>
        <v>0</v>
      </c>
      <c r="T56" s="316">
        <f t="shared" si="19"/>
        <v>0</v>
      </c>
      <c r="U56" s="316">
        <f t="shared" si="19"/>
        <v>0</v>
      </c>
      <c r="V56" s="316">
        <f t="shared" si="19"/>
        <v>0</v>
      </c>
      <c r="W56" s="316">
        <f t="shared" si="19"/>
        <v>0</v>
      </c>
      <c r="X56" s="316">
        <f t="shared" si="19"/>
        <v>0</v>
      </c>
      <c r="Y56" s="316">
        <f t="shared" si="19"/>
        <v>0</v>
      </c>
      <c r="Z56" s="316">
        <f t="shared" si="21"/>
        <v>0</v>
      </c>
      <c r="AA56" s="316">
        <f t="shared" si="21"/>
        <v>0</v>
      </c>
      <c r="AB56" s="316">
        <f t="shared" si="21"/>
        <v>0</v>
      </c>
      <c r="AC56" s="316">
        <f t="shared" si="21"/>
        <v>0</v>
      </c>
      <c r="AD56" s="316">
        <f t="shared" si="21"/>
        <v>0</v>
      </c>
      <c r="AE56" s="316">
        <f t="shared" si="21"/>
        <v>0</v>
      </c>
      <c r="AF56" s="316">
        <f t="shared" si="21"/>
        <v>0</v>
      </c>
      <c r="AG56" s="316">
        <f t="shared" si="21"/>
        <v>0</v>
      </c>
      <c r="AH56" s="316">
        <f t="shared" si="21"/>
        <v>0</v>
      </c>
      <c r="AI56" s="316">
        <f t="shared" si="21"/>
        <v>0</v>
      </c>
      <c r="AJ56" s="316">
        <f t="shared" si="21"/>
        <v>0</v>
      </c>
      <c r="AK56" s="316">
        <f t="shared" si="21"/>
        <v>0</v>
      </c>
      <c r="AL56" s="316">
        <f t="shared" si="21"/>
        <v>0</v>
      </c>
      <c r="AM56" s="316">
        <f t="shared" si="21"/>
        <v>0</v>
      </c>
      <c r="AN56" s="316">
        <f t="shared" si="21"/>
        <v>0</v>
      </c>
      <c r="AO56" s="316">
        <f t="shared" si="21"/>
        <v>0</v>
      </c>
    </row>
    <row r="57" spans="2:41" x14ac:dyDescent="0.2">
      <c r="B57" s="571">
        <f t="shared" si="18"/>
        <v>23</v>
      </c>
      <c r="C57" s="606">
        <f t="shared" si="12"/>
        <v>0</v>
      </c>
      <c r="D57" s="607">
        <f t="shared" si="13"/>
        <v>0</v>
      </c>
      <c r="E57" s="608">
        <f t="shared" si="14"/>
        <v>0</v>
      </c>
      <c r="F57" s="316">
        <f t="shared" si="20"/>
        <v>0</v>
      </c>
      <c r="G57" s="316">
        <f t="shared" si="20"/>
        <v>0</v>
      </c>
      <c r="H57" s="316">
        <f t="shared" si="20"/>
        <v>0</v>
      </c>
      <c r="I57" s="316">
        <f t="shared" si="20"/>
        <v>0</v>
      </c>
      <c r="J57" s="316">
        <f t="shared" si="20"/>
        <v>0</v>
      </c>
      <c r="K57" s="316">
        <f t="shared" si="20"/>
        <v>0</v>
      </c>
      <c r="L57" s="316">
        <f t="shared" si="20"/>
        <v>0</v>
      </c>
      <c r="M57" s="316">
        <f t="shared" si="20"/>
        <v>0</v>
      </c>
      <c r="N57" s="316">
        <f t="shared" si="20"/>
        <v>0</v>
      </c>
      <c r="O57" s="316">
        <f t="shared" si="20"/>
        <v>0</v>
      </c>
      <c r="P57" s="316">
        <f t="shared" si="19"/>
        <v>0</v>
      </c>
      <c r="Q57" s="316">
        <f t="shared" si="19"/>
        <v>0</v>
      </c>
      <c r="R57" s="316">
        <f t="shared" si="19"/>
        <v>0</v>
      </c>
      <c r="S57" s="316">
        <f t="shared" si="19"/>
        <v>0</v>
      </c>
      <c r="T57" s="316">
        <f t="shared" si="19"/>
        <v>0</v>
      </c>
      <c r="U57" s="316">
        <f t="shared" si="19"/>
        <v>0</v>
      </c>
      <c r="V57" s="316">
        <f t="shared" si="19"/>
        <v>0</v>
      </c>
      <c r="W57" s="316">
        <f t="shared" si="19"/>
        <v>0</v>
      </c>
      <c r="X57" s="316">
        <f t="shared" si="19"/>
        <v>0</v>
      </c>
      <c r="Y57" s="316">
        <f t="shared" si="19"/>
        <v>0</v>
      </c>
      <c r="Z57" s="316">
        <f t="shared" si="21"/>
        <v>0</v>
      </c>
      <c r="AA57" s="316">
        <f t="shared" si="21"/>
        <v>0</v>
      </c>
      <c r="AB57" s="316">
        <f t="shared" si="21"/>
        <v>0</v>
      </c>
      <c r="AC57" s="316">
        <f t="shared" si="21"/>
        <v>0</v>
      </c>
      <c r="AD57" s="316">
        <f t="shared" si="21"/>
        <v>0</v>
      </c>
      <c r="AE57" s="316">
        <f t="shared" si="21"/>
        <v>0</v>
      </c>
      <c r="AF57" s="316">
        <f t="shared" si="21"/>
        <v>0</v>
      </c>
      <c r="AG57" s="316">
        <f t="shared" si="21"/>
        <v>0</v>
      </c>
      <c r="AH57" s="316">
        <f t="shared" si="21"/>
        <v>0</v>
      </c>
      <c r="AI57" s="316">
        <f t="shared" si="21"/>
        <v>0</v>
      </c>
      <c r="AJ57" s="316">
        <f t="shared" si="21"/>
        <v>0</v>
      </c>
      <c r="AK57" s="316">
        <f t="shared" si="21"/>
        <v>0</v>
      </c>
      <c r="AL57" s="316">
        <f t="shared" si="21"/>
        <v>0</v>
      </c>
      <c r="AM57" s="316">
        <f t="shared" si="21"/>
        <v>0</v>
      </c>
      <c r="AN57" s="316">
        <f t="shared" si="21"/>
        <v>0</v>
      </c>
      <c r="AO57" s="316">
        <f t="shared" si="21"/>
        <v>0</v>
      </c>
    </row>
    <row r="58" spans="2:41" x14ac:dyDescent="0.2">
      <c r="B58" s="571">
        <f t="shared" si="18"/>
        <v>24</v>
      </c>
      <c r="C58" s="606">
        <f t="shared" si="12"/>
        <v>0</v>
      </c>
      <c r="D58" s="607">
        <f t="shared" si="13"/>
        <v>0</v>
      </c>
      <c r="E58" s="608">
        <f t="shared" si="14"/>
        <v>0</v>
      </c>
      <c r="F58" s="316">
        <f t="shared" si="20"/>
        <v>0</v>
      </c>
      <c r="G58" s="316">
        <f t="shared" si="20"/>
        <v>0</v>
      </c>
      <c r="H58" s="316">
        <f t="shared" si="20"/>
        <v>0</v>
      </c>
      <c r="I58" s="316">
        <f t="shared" si="20"/>
        <v>0</v>
      </c>
      <c r="J58" s="316">
        <f t="shared" si="20"/>
        <v>0</v>
      </c>
      <c r="K58" s="316">
        <f t="shared" si="20"/>
        <v>0</v>
      </c>
      <c r="L58" s="316">
        <f t="shared" si="20"/>
        <v>0</v>
      </c>
      <c r="M58" s="316">
        <f t="shared" si="20"/>
        <v>0</v>
      </c>
      <c r="N58" s="316">
        <f t="shared" si="20"/>
        <v>0</v>
      </c>
      <c r="O58" s="316">
        <f t="shared" si="20"/>
        <v>0</v>
      </c>
      <c r="P58" s="316">
        <f t="shared" si="19"/>
        <v>0</v>
      </c>
      <c r="Q58" s="316">
        <f t="shared" si="19"/>
        <v>0</v>
      </c>
      <c r="R58" s="316">
        <f t="shared" si="19"/>
        <v>0</v>
      </c>
      <c r="S58" s="316">
        <f t="shared" si="19"/>
        <v>0</v>
      </c>
      <c r="T58" s="316">
        <f t="shared" si="19"/>
        <v>0</v>
      </c>
      <c r="U58" s="316">
        <f t="shared" si="19"/>
        <v>0</v>
      </c>
      <c r="V58" s="316">
        <f t="shared" si="19"/>
        <v>0</v>
      </c>
      <c r="W58" s="316">
        <f t="shared" si="19"/>
        <v>0</v>
      </c>
      <c r="X58" s="316">
        <f t="shared" si="19"/>
        <v>0</v>
      </c>
      <c r="Y58" s="316">
        <f t="shared" si="19"/>
        <v>0</v>
      </c>
      <c r="Z58" s="316">
        <f t="shared" si="21"/>
        <v>0</v>
      </c>
      <c r="AA58" s="316">
        <f t="shared" si="21"/>
        <v>0</v>
      </c>
      <c r="AB58" s="316">
        <f t="shared" si="21"/>
        <v>0</v>
      </c>
      <c r="AC58" s="316">
        <f t="shared" si="21"/>
        <v>0</v>
      </c>
      <c r="AD58" s="316">
        <f t="shared" si="21"/>
        <v>0</v>
      </c>
      <c r="AE58" s="316">
        <f t="shared" si="21"/>
        <v>0</v>
      </c>
      <c r="AF58" s="316">
        <f t="shared" si="21"/>
        <v>0</v>
      </c>
      <c r="AG58" s="316">
        <f t="shared" si="21"/>
        <v>0</v>
      </c>
      <c r="AH58" s="316">
        <f t="shared" si="21"/>
        <v>0</v>
      </c>
      <c r="AI58" s="316">
        <f t="shared" si="21"/>
        <v>0</v>
      </c>
      <c r="AJ58" s="316">
        <f t="shared" si="21"/>
        <v>0</v>
      </c>
      <c r="AK58" s="316">
        <f t="shared" si="21"/>
        <v>0</v>
      </c>
      <c r="AL58" s="316">
        <f t="shared" si="21"/>
        <v>0</v>
      </c>
      <c r="AM58" s="316">
        <f t="shared" si="21"/>
        <v>0</v>
      </c>
      <c r="AN58" s="316">
        <f t="shared" si="21"/>
        <v>0</v>
      </c>
      <c r="AO58" s="316">
        <f t="shared" si="21"/>
        <v>0</v>
      </c>
    </row>
    <row r="59" spans="2:41" x14ac:dyDescent="0.2">
      <c r="B59" s="571">
        <f t="shared" si="18"/>
        <v>25</v>
      </c>
      <c r="C59" s="606">
        <f t="shared" si="12"/>
        <v>0</v>
      </c>
      <c r="D59" s="607">
        <f t="shared" si="13"/>
        <v>0</v>
      </c>
      <c r="E59" s="608">
        <f t="shared" si="14"/>
        <v>0</v>
      </c>
      <c r="F59" s="316">
        <f t="shared" si="20"/>
        <v>0</v>
      </c>
      <c r="G59" s="316">
        <f t="shared" si="20"/>
        <v>0</v>
      </c>
      <c r="H59" s="316">
        <f t="shared" si="20"/>
        <v>0</v>
      </c>
      <c r="I59" s="316">
        <f t="shared" si="20"/>
        <v>0</v>
      </c>
      <c r="J59" s="316">
        <f t="shared" si="20"/>
        <v>0</v>
      </c>
      <c r="K59" s="316">
        <f t="shared" si="20"/>
        <v>0</v>
      </c>
      <c r="L59" s="316">
        <f t="shared" si="20"/>
        <v>0</v>
      </c>
      <c r="M59" s="316">
        <f t="shared" si="20"/>
        <v>0</v>
      </c>
      <c r="N59" s="316">
        <f t="shared" si="20"/>
        <v>0</v>
      </c>
      <c r="O59" s="316">
        <f t="shared" si="20"/>
        <v>0</v>
      </c>
      <c r="P59" s="316">
        <f t="shared" si="19"/>
        <v>0</v>
      </c>
      <c r="Q59" s="316">
        <f t="shared" si="19"/>
        <v>0</v>
      </c>
      <c r="R59" s="316">
        <f t="shared" si="19"/>
        <v>0</v>
      </c>
      <c r="S59" s="316">
        <f t="shared" si="19"/>
        <v>0</v>
      </c>
      <c r="T59" s="316">
        <f t="shared" si="19"/>
        <v>0</v>
      </c>
      <c r="U59" s="316">
        <f t="shared" si="19"/>
        <v>0</v>
      </c>
      <c r="V59" s="316">
        <f t="shared" si="19"/>
        <v>0</v>
      </c>
      <c r="W59" s="316">
        <f t="shared" si="19"/>
        <v>0</v>
      </c>
      <c r="X59" s="316">
        <f t="shared" si="19"/>
        <v>0</v>
      </c>
      <c r="Y59" s="316">
        <f t="shared" si="19"/>
        <v>0</v>
      </c>
      <c r="Z59" s="316">
        <f t="shared" si="21"/>
        <v>0</v>
      </c>
      <c r="AA59" s="316">
        <f t="shared" si="21"/>
        <v>0</v>
      </c>
      <c r="AB59" s="316">
        <f t="shared" si="21"/>
        <v>0</v>
      </c>
      <c r="AC59" s="316">
        <f t="shared" si="21"/>
        <v>0</v>
      </c>
      <c r="AD59" s="316">
        <f t="shared" si="21"/>
        <v>0</v>
      </c>
      <c r="AE59" s="316">
        <f t="shared" si="21"/>
        <v>0</v>
      </c>
      <c r="AF59" s="316">
        <f t="shared" si="21"/>
        <v>0</v>
      </c>
      <c r="AG59" s="316">
        <f t="shared" si="21"/>
        <v>0</v>
      </c>
      <c r="AH59" s="316">
        <f t="shared" si="21"/>
        <v>0</v>
      </c>
      <c r="AI59" s="316">
        <f t="shared" si="21"/>
        <v>0</v>
      </c>
      <c r="AJ59" s="316">
        <f t="shared" si="21"/>
        <v>0</v>
      </c>
      <c r="AK59" s="316">
        <f t="shared" si="21"/>
        <v>0</v>
      </c>
      <c r="AL59" s="316">
        <f t="shared" si="21"/>
        <v>0</v>
      </c>
      <c r="AM59" s="316">
        <f t="shared" si="21"/>
        <v>0</v>
      </c>
      <c r="AN59" s="316">
        <f t="shared" si="21"/>
        <v>0</v>
      </c>
      <c r="AO59" s="316">
        <f t="shared" si="21"/>
        <v>0</v>
      </c>
    </row>
    <row r="60" spans="2:41" x14ac:dyDescent="0.2">
      <c r="B60" s="571">
        <f t="shared" si="18"/>
        <v>26</v>
      </c>
      <c r="C60" s="606">
        <f t="shared" si="12"/>
        <v>0</v>
      </c>
      <c r="D60" s="607">
        <f t="shared" si="13"/>
        <v>0</v>
      </c>
      <c r="E60" s="608">
        <f t="shared" si="14"/>
        <v>0</v>
      </c>
      <c r="F60" s="316">
        <f t="shared" si="20"/>
        <v>0</v>
      </c>
      <c r="G60" s="316">
        <f t="shared" si="20"/>
        <v>0</v>
      </c>
      <c r="H60" s="316">
        <f t="shared" si="20"/>
        <v>0</v>
      </c>
      <c r="I60" s="316">
        <f t="shared" si="20"/>
        <v>0</v>
      </c>
      <c r="J60" s="316">
        <f t="shared" si="20"/>
        <v>0</v>
      </c>
      <c r="K60" s="316">
        <f t="shared" si="20"/>
        <v>0</v>
      </c>
      <c r="L60" s="316">
        <f t="shared" si="20"/>
        <v>0</v>
      </c>
      <c r="M60" s="316">
        <f t="shared" si="20"/>
        <v>0</v>
      </c>
      <c r="N60" s="316">
        <f t="shared" si="20"/>
        <v>0</v>
      </c>
      <c r="O60" s="316">
        <f t="shared" si="20"/>
        <v>0</v>
      </c>
      <c r="P60" s="316">
        <f t="shared" si="19"/>
        <v>0</v>
      </c>
      <c r="Q60" s="316">
        <f t="shared" si="19"/>
        <v>0</v>
      </c>
      <c r="R60" s="316">
        <f t="shared" si="19"/>
        <v>0</v>
      </c>
      <c r="S60" s="316">
        <f t="shared" si="19"/>
        <v>0</v>
      </c>
      <c r="T60" s="316">
        <f t="shared" si="19"/>
        <v>0</v>
      </c>
      <c r="U60" s="316">
        <f t="shared" si="19"/>
        <v>0</v>
      </c>
      <c r="V60" s="316">
        <f t="shared" si="19"/>
        <v>0</v>
      </c>
      <c r="W60" s="316">
        <f t="shared" si="19"/>
        <v>0</v>
      </c>
      <c r="X60" s="316">
        <f t="shared" si="19"/>
        <v>0</v>
      </c>
      <c r="Y60" s="316">
        <f t="shared" si="19"/>
        <v>0</v>
      </c>
      <c r="Z60" s="316">
        <f t="shared" si="21"/>
        <v>0</v>
      </c>
      <c r="AA60" s="316">
        <f t="shared" si="21"/>
        <v>0</v>
      </c>
      <c r="AB60" s="316">
        <f t="shared" si="21"/>
        <v>0</v>
      </c>
      <c r="AC60" s="316">
        <f t="shared" si="21"/>
        <v>0</v>
      </c>
      <c r="AD60" s="316">
        <f t="shared" si="21"/>
        <v>0</v>
      </c>
      <c r="AE60" s="316">
        <f t="shared" si="21"/>
        <v>0</v>
      </c>
      <c r="AF60" s="316">
        <f t="shared" si="21"/>
        <v>0</v>
      </c>
      <c r="AG60" s="316">
        <f t="shared" si="21"/>
        <v>0</v>
      </c>
      <c r="AH60" s="316">
        <f t="shared" si="21"/>
        <v>0</v>
      </c>
      <c r="AI60" s="316">
        <f t="shared" si="21"/>
        <v>0</v>
      </c>
      <c r="AJ60" s="316">
        <f t="shared" si="21"/>
        <v>0</v>
      </c>
      <c r="AK60" s="316">
        <f t="shared" si="21"/>
        <v>0</v>
      </c>
      <c r="AL60" s="316">
        <f t="shared" si="21"/>
        <v>0</v>
      </c>
      <c r="AM60" s="316">
        <f t="shared" si="21"/>
        <v>0</v>
      </c>
      <c r="AN60" s="316">
        <f t="shared" si="21"/>
        <v>0</v>
      </c>
      <c r="AO60" s="316">
        <f t="shared" si="21"/>
        <v>0</v>
      </c>
    </row>
    <row r="61" spans="2:41" x14ac:dyDescent="0.2">
      <c r="B61" s="571">
        <f>+B60+1</f>
        <v>27</v>
      </c>
      <c r="C61" s="606">
        <f t="shared" si="12"/>
        <v>0</v>
      </c>
      <c r="D61" s="607">
        <f t="shared" si="13"/>
        <v>0</v>
      </c>
      <c r="E61" s="608">
        <f t="shared" si="14"/>
        <v>0</v>
      </c>
      <c r="F61" s="316">
        <f t="shared" si="20"/>
        <v>0</v>
      </c>
      <c r="G61" s="316">
        <f t="shared" si="20"/>
        <v>0</v>
      </c>
      <c r="H61" s="316">
        <f t="shared" si="20"/>
        <v>0</v>
      </c>
      <c r="I61" s="316">
        <f t="shared" si="20"/>
        <v>0</v>
      </c>
      <c r="J61" s="316">
        <f t="shared" si="20"/>
        <v>0</v>
      </c>
      <c r="K61" s="316">
        <f t="shared" si="20"/>
        <v>0</v>
      </c>
      <c r="L61" s="316">
        <f t="shared" si="20"/>
        <v>0</v>
      </c>
      <c r="M61" s="316">
        <f t="shared" si="20"/>
        <v>0</v>
      </c>
      <c r="N61" s="316">
        <f t="shared" si="20"/>
        <v>0</v>
      </c>
      <c r="O61" s="316">
        <f t="shared" si="20"/>
        <v>0</v>
      </c>
      <c r="P61" s="316">
        <f t="shared" si="19"/>
        <v>0</v>
      </c>
      <c r="Q61" s="316">
        <f t="shared" si="19"/>
        <v>0</v>
      </c>
      <c r="R61" s="316">
        <f t="shared" si="19"/>
        <v>0</v>
      </c>
      <c r="S61" s="316">
        <f t="shared" si="19"/>
        <v>0</v>
      </c>
      <c r="T61" s="316">
        <f t="shared" si="19"/>
        <v>0</v>
      </c>
      <c r="U61" s="316">
        <f t="shared" si="19"/>
        <v>0</v>
      </c>
      <c r="V61" s="316">
        <f t="shared" si="19"/>
        <v>0</v>
      </c>
      <c r="W61" s="316">
        <f t="shared" si="19"/>
        <v>0</v>
      </c>
      <c r="X61" s="316">
        <f t="shared" si="19"/>
        <v>0</v>
      </c>
      <c r="Y61" s="316">
        <f t="shared" si="19"/>
        <v>0</v>
      </c>
      <c r="Z61" s="316">
        <f t="shared" si="21"/>
        <v>0</v>
      </c>
      <c r="AA61" s="316">
        <f t="shared" si="21"/>
        <v>0</v>
      </c>
      <c r="AB61" s="316">
        <f t="shared" si="21"/>
        <v>0</v>
      </c>
      <c r="AC61" s="316">
        <f t="shared" si="21"/>
        <v>0</v>
      </c>
      <c r="AD61" s="316">
        <f t="shared" si="21"/>
        <v>0</v>
      </c>
      <c r="AE61" s="316">
        <f t="shared" si="21"/>
        <v>0</v>
      </c>
      <c r="AF61" s="316">
        <f t="shared" si="21"/>
        <v>0</v>
      </c>
      <c r="AG61" s="316">
        <f t="shared" si="21"/>
        <v>0</v>
      </c>
      <c r="AH61" s="316">
        <f t="shared" si="21"/>
        <v>0</v>
      </c>
      <c r="AI61" s="316">
        <f t="shared" si="21"/>
        <v>0</v>
      </c>
      <c r="AJ61" s="316">
        <f t="shared" si="21"/>
        <v>0</v>
      </c>
      <c r="AK61" s="316">
        <f t="shared" si="21"/>
        <v>0</v>
      </c>
      <c r="AL61" s="316">
        <f t="shared" si="21"/>
        <v>0</v>
      </c>
      <c r="AM61" s="316">
        <f t="shared" si="21"/>
        <v>0</v>
      </c>
      <c r="AN61" s="316">
        <f t="shared" si="21"/>
        <v>0</v>
      </c>
      <c r="AO61" s="316">
        <f t="shared" si="21"/>
        <v>0</v>
      </c>
    </row>
    <row r="62" spans="2:41" x14ac:dyDescent="0.2">
      <c r="B62" s="571">
        <f t="shared" si="18"/>
        <v>28</v>
      </c>
      <c r="C62" s="606">
        <f t="shared" si="12"/>
        <v>0</v>
      </c>
      <c r="D62" s="607">
        <f t="shared" si="13"/>
        <v>0</v>
      </c>
      <c r="E62" s="608">
        <f t="shared" si="14"/>
        <v>0</v>
      </c>
      <c r="F62" s="316">
        <f t="shared" si="20"/>
        <v>0</v>
      </c>
      <c r="G62" s="316">
        <f t="shared" si="20"/>
        <v>0</v>
      </c>
      <c r="H62" s="316">
        <f t="shared" si="20"/>
        <v>0</v>
      </c>
      <c r="I62" s="316">
        <f t="shared" si="20"/>
        <v>0</v>
      </c>
      <c r="J62" s="316">
        <f t="shared" si="20"/>
        <v>0</v>
      </c>
      <c r="K62" s="316">
        <f t="shared" si="20"/>
        <v>0</v>
      </c>
      <c r="L62" s="316">
        <f t="shared" si="20"/>
        <v>0</v>
      </c>
      <c r="M62" s="316">
        <f t="shared" si="20"/>
        <v>0</v>
      </c>
      <c r="N62" s="316">
        <f t="shared" si="20"/>
        <v>0</v>
      </c>
      <c r="O62" s="316">
        <f t="shared" si="20"/>
        <v>0</v>
      </c>
      <c r="P62" s="316">
        <f t="shared" si="19"/>
        <v>0</v>
      </c>
      <c r="Q62" s="316">
        <f t="shared" si="19"/>
        <v>0</v>
      </c>
      <c r="R62" s="316">
        <f t="shared" si="19"/>
        <v>0</v>
      </c>
      <c r="S62" s="316">
        <f t="shared" si="19"/>
        <v>0</v>
      </c>
      <c r="T62" s="316">
        <f t="shared" si="19"/>
        <v>0</v>
      </c>
      <c r="U62" s="316">
        <f t="shared" si="19"/>
        <v>0</v>
      </c>
      <c r="V62" s="316">
        <f t="shared" si="19"/>
        <v>0</v>
      </c>
      <c r="W62" s="316">
        <f t="shared" si="19"/>
        <v>0</v>
      </c>
      <c r="X62" s="316">
        <f t="shared" si="19"/>
        <v>0</v>
      </c>
      <c r="Y62" s="316">
        <f t="shared" si="19"/>
        <v>0</v>
      </c>
      <c r="Z62" s="316">
        <f t="shared" si="21"/>
        <v>0</v>
      </c>
      <c r="AA62" s="316">
        <f t="shared" si="21"/>
        <v>0</v>
      </c>
      <c r="AB62" s="316">
        <f t="shared" si="21"/>
        <v>0</v>
      </c>
      <c r="AC62" s="316">
        <f t="shared" si="21"/>
        <v>0</v>
      </c>
      <c r="AD62" s="316">
        <f t="shared" si="21"/>
        <v>0</v>
      </c>
      <c r="AE62" s="316">
        <f t="shared" si="21"/>
        <v>0</v>
      </c>
      <c r="AF62" s="316">
        <f t="shared" si="21"/>
        <v>0</v>
      </c>
      <c r="AG62" s="316">
        <f t="shared" si="21"/>
        <v>0</v>
      </c>
      <c r="AH62" s="316">
        <f t="shared" si="21"/>
        <v>0</v>
      </c>
      <c r="AI62" s="316">
        <f t="shared" si="21"/>
        <v>0</v>
      </c>
      <c r="AJ62" s="316">
        <f t="shared" si="21"/>
        <v>0</v>
      </c>
      <c r="AK62" s="316">
        <f t="shared" si="21"/>
        <v>0</v>
      </c>
      <c r="AL62" s="316">
        <f t="shared" si="21"/>
        <v>0</v>
      </c>
      <c r="AM62" s="316">
        <f t="shared" si="21"/>
        <v>0</v>
      </c>
      <c r="AN62" s="316">
        <f t="shared" si="21"/>
        <v>0</v>
      </c>
      <c r="AO62" s="316">
        <f t="shared" si="21"/>
        <v>0</v>
      </c>
    </row>
    <row r="63" spans="2:41" x14ac:dyDescent="0.2">
      <c r="B63" s="571">
        <f t="shared" si="18"/>
        <v>29</v>
      </c>
      <c r="C63" s="606">
        <f t="shared" si="12"/>
        <v>0</v>
      </c>
      <c r="D63" s="607">
        <f t="shared" si="13"/>
        <v>0</v>
      </c>
      <c r="E63" s="608">
        <f t="shared" si="14"/>
        <v>0</v>
      </c>
      <c r="F63" s="316">
        <f t="shared" si="20"/>
        <v>0</v>
      </c>
      <c r="G63" s="316">
        <f t="shared" si="20"/>
        <v>0</v>
      </c>
      <c r="H63" s="316">
        <f t="shared" si="20"/>
        <v>0</v>
      </c>
      <c r="I63" s="316">
        <f t="shared" si="20"/>
        <v>0</v>
      </c>
      <c r="J63" s="316">
        <f t="shared" si="20"/>
        <v>0</v>
      </c>
      <c r="K63" s="316">
        <f t="shared" si="20"/>
        <v>0</v>
      </c>
      <c r="L63" s="316">
        <f t="shared" si="20"/>
        <v>0</v>
      </c>
      <c r="M63" s="316">
        <f t="shared" si="20"/>
        <v>0</v>
      </c>
      <c r="N63" s="316">
        <f t="shared" si="20"/>
        <v>0</v>
      </c>
      <c r="O63" s="316">
        <f t="shared" si="20"/>
        <v>0</v>
      </c>
      <c r="P63" s="316">
        <f t="shared" si="19"/>
        <v>0</v>
      </c>
      <c r="Q63" s="316">
        <f t="shared" si="19"/>
        <v>0</v>
      </c>
      <c r="R63" s="316">
        <f t="shared" si="19"/>
        <v>0</v>
      </c>
      <c r="S63" s="316">
        <f t="shared" si="19"/>
        <v>0</v>
      </c>
      <c r="T63" s="316">
        <f t="shared" si="19"/>
        <v>0</v>
      </c>
      <c r="U63" s="316">
        <f t="shared" si="19"/>
        <v>0</v>
      </c>
      <c r="V63" s="316">
        <f t="shared" si="19"/>
        <v>0</v>
      </c>
      <c r="W63" s="316">
        <f t="shared" si="19"/>
        <v>0</v>
      </c>
      <c r="X63" s="316">
        <f t="shared" si="19"/>
        <v>0</v>
      </c>
      <c r="Y63" s="316">
        <f t="shared" si="19"/>
        <v>0</v>
      </c>
      <c r="Z63" s="316">
        <f t="shared" si="21"/>
        <v>0</v>
      </c>
      <c r="AA63" s="316">
        <f t="shared" si="21"/>
        <v>0</v>
      </c>
      <c r="AB63" s="316">
        <f t="shared" si="21"/>
        <v>0</v>
      </c>
      <c r="AC63" s="316">
        <f t="shared" si="21"/>
        <v>0</v>
      </c>
      <c r="AD63" s="316">
        <f t="shared" si="21"/>
        <v>0</v>
      </c>
      <c r="AE63" s="316">
        <f t="shared" si="21"/>
        <v>0</v>
      </c>
      <c r="AF63" s="316">
        <f t="shared" si="21"/>
        <v>0</v>
      </c>
      <c r="AG63" s="316">
        <f t="shared" si="21"/>
        <v>0</v>
      </c>
      <c r="AH63" s="316">
        <f t="shared" si="21"/>
        <v>0</v>
      </c>
      <c r="AI63" s="316">
        <f t="shared" si="21"/>
        <v>0</v>
      </c>
      <c r="AJ63" s="316">
        <f t="shared" si="21"/>
        <v>0</v>
      </c>
      <c r="AK63" s="316">
        <f t="shared" si="21"/>
        <v>0</v>
      </c>
      <c r="AL63" s="316">
        <f t="shared" si="21"/>
        <v>0</v>
      </c>
      <c r="AM63" s="316">
        <f t="shared" si="21"/>
        <v>0</v>
      </c>
      <c r="AN63" s="316">
        <f t="shared" si="21"/>
        <v>0</v>
      </c>
      <c r="AO63" s="316">
        <f t="shared" si="21"/>
        <v>0</v>
      </c>
    </row>
    <row r="64" spans="2:41" x14ac:dyDescent="0.2">
      <c r="B64" s="571">
        <f t="shared" si="18"/>
        <v>30</v>
      </c>
      <c r="C64" s="606">
        <f t="shared" si="12"/>
        <v>0</v>
      </c>
      <c r="D64" s="607">
        <f t="shared" si="13"/>
        <v>0</v>
      </c>
      <c r="E64" s="608">
        <f t="shared" si="14"/>
        <v>0</v>
      </c>
      <c r="F64" s="316">
        <f t="shared" si="20"/>
        <v>0</v>
      </c>
      <c r="G64" s="316">
        <f t="shared" si="20"/>
        <v>0</v>
      </c>
      <c r="H64" s="316">
        <f t="shared" si="20"/>
        <v>0</v>
      </c>
      <c r="I64" s="316">
        <f t="shared" si="20"/>
        <v>0</v>
      </c>
      <c r="J64" s="316">
        <f t="shared" si="20"/>
        <v>0</v>
      </c>
      <c r="K64" s="316">
        <f t="shared" si="20"/>
        <v>0</v>
      </c>
      <c r="L64" s="316">
        <f t="shared" si="20"/>
        <v>0</v>
      </c>
      <c r="M64" s="316">
        <f t="shared" si="20"/>
        <v>0</v>
      </c>
      <c r="N64" s="316">
        <f t="shared" si="20"/>
        <v>0</v>
      </c>
      <c r="O64" s="316">
        <f t="shared" si="20"/>
        <v>0</v>
      </c>
      <c r="P64" s="316">
        <f t="shared" si="19"/>
        <v>0</v>
      </c>
      <c r="Q64" s="316">
        <f t="shared" si="19"/>
        <v>0</v>
      </c>
      <c r="R64" s="316">
        <f t="shared" si="19"/>
        <v>0</v>
      </c>
      <c r="S64" s="316">
        <f t="shared" si="19"/>
        <v>0</v>
      </c>
      <c r="T64" s="316">
        <f t="shared" si="19"/>
        <v>0</v>
      </c>
      <c r="U64" s="316">
        <f t="shared" si="19"/>
        <v>0</v>
      </c>
      <c r="V64" s="316">
        <f t="shared" si="19"/>
        <v>0</v>
      </c>
      <c r="W64" s="316">
        <f t="shared" si="19"/>
        <v>0</v>
      </c>
      <c r="X64" s="316">
        <f t="shared" si="19"/>
        <v>0</v>
      </c>
      <c r="Y64" s="316">
        <f t="shared" si="19"/>
        <v>0</v>
      </c>
      <c r="Z64" s="316">
        <f t="shared" si="21"/>
        <v>0</v>
      </c>
      <c r="AA64" s="316">
        <f t="shared" si="21"/>
        <v>0</v>
      </c>
      <c r="AB64" s="316">
        <f t="shared" si="21"/>
        <v>0</v>
      </c>
      <c r="AC64" s="316">
        <f t="shared" si="21"/>
        <v>0</v>
      </c>
      <c r="AD64" s="316">
        <f t="shared" si="21"/>
        <v>0</v>
      </c>
      <c r="AE64" s="316">
        <f t="shared" si="21"/>
        <v>0</v>
      </c>
      <c r="AF64" s="316">
        <f t="shared" si="21"/>
        <v>0</v>
      </c>
      <c r="AG64" s="316">
        <f t="shared" si="21"/>
        <v>0</v>
      </c>
      <c r="AH64" s="316">
        <f t="shared" si="21"/>
        <v>0</v>
      </c>
      <c r="AI64" s="316">
        <f t="shared" si="21"/>
        <v>0</v>
      </c>
      <c r="AJ64" s="316">
        <f t="shared" si="21"/>
        <v>0</v>
      </c>
      <c r="AK64" s="316">
        <f t="shared" si="21"/>
        <v>0</v>
      </c>
      <c r="AL64" s="316">
        <f t="shared" si="21"/>
        <v>0</v>
      </c>
      <c r="AM64" s="316">
        <f t="shared" si="21"/>
        <v>0</v>
      </c>
      <c r="AN64" s="316">
        <f t="shared" si="21"/>
        <v>0</v>
      </c>
      <c r="AO64" s="316">
        <f t="shared" si="21"/>
        <v>0</v>
      </c>
    </row>
    <row r="65" spans="1:41" x14ac:dyDescent="0.2">
      <c r="B65" s="571">
        <f t="shared" si="18"/>
        <v>31</v>
      </c>
      <c r="C65" s="606">
        <f t="shared" si="12"/>
        <v>0</v>
      </c>
      <c r="D65" s="607">
        <f t="shared" si="13"/>
        <v>0</v>
      </c>
      <c r="E65" s="608">
        <f t="shared" si="14"/>
        <v>0</v>
      </c>
      <c r="F65" s="316">
        <f t="shared" si="20"/>
        <v>0</v>
      </c>
      <c r="G65" s="316">
        <f t="shared" si="20"/>
        <v>0</v>
      </c>
      <c r="H65" s="316">
        <f t="shared" si="20"/>
        <v>0</v>
      </c>
      <c r="I65" s="316">
        <f t="shared" si="20"/>
        <v>0</v>
      </c>
      <c r="J65" s="316">
        <f t="shared" si="20"/>
        <v>0</v>
      </c>
      <c r="K65" s="316">
        <f t="shared" si="20"/>
        <v>0</v>
      </c>
      <c r="L65" s="316">
        <f t="shared" si="20"/>
        <v>0</v>
      </c>
      <c r="M65" s="316">
        <f t="shared" si="20"/>
        <v>0</v>
      </c>
      <c r="N65" s="316">
        <f t="shared" si="20"/>
        <v>0</v>
      </c>
      <c r="O65" s="316">
        <f t="shared" si="20"/>
        <v>0</v>
      </c>
      <c r="P65" s="316">
        <f t="shared" si="19"/>
        <v>0</v>
      </c>
      <c r="Q65" s="316">
        <f t="shared" si="19"/>
        <v>0</v>
      </c>
      <c r="R65" s="316">
        <f t="shared" si="19"/>
        <v>0</v>
      </c>
      <c r="S65" s="316">
        <f t="shared" si="19"/>
        <v>0</v>
      </c>
      <c r="T65" s="316">
        <f t="shared" si="19"/>
        <v>0</v>
      </c>
      <c r="U65" s="316">
        <f t="shared" si="19"/>
        <v>0</v>
      </c>
      <c r="V65" s="316">
        <f t="shared" si="19"/>
        <v>0</v>
      </c>
      <c r="W65" s="316">
        <f t="shared" si="19"/>
        <v>0</v>
      </c>
      <c r="X65" s="316">
        <f t="shared" si="19"/>
        <v>0</v>
      </c>
      <c r="Y65" s="316">
        <f t="shared" si="19"/>
        <v>0</v>
      </c>
      <c r="Z65" s="316">
        <f t="shared" si="21"/>
        <v>0</v>
      </c>
      <c r="AA65" s="316">
        <f t="shared" si="21"/>
        <v>0</v>
      </c>
      <c r="AB65" s="316">
        <f t="shared" si="21"/>
        <v>0</v>
      </c>
      <c r="AC65" s="316">
        <f t="shared" si="21"/>
        <v>0</v>
      </c>
      <c r="AD65" s="316">
        <f t="shared" si="21"/>
        <v>0</v>
      </c>
      <c r="AE65" s="316">
        <f t="shared" si="21"/>
        <v>0</v>
      </c>
      <c r="AF65" s="316">
        <f t="shared" si="21"/>
        <v>0</v>
      </c>
      <c r="AG65" s="316">
        <f t="shared" si="21"/>
        <v>0</v>
      </c>
      <c r="AH65" s="316">
        <f t="shared" si="21"/>
        <v>0</v>
      </c>
      <c r="AI65" s="316">
        <f t="shared" si="21"/>
        <v>0</v>
      </c>
      <c r="AJ65" s="316">
        <f t="shared" si="21"/>
        <v>0</v>
      </c>
      <c r="AK65" s="316">
        <f t="shared" si="21"/>
        <v>0</v>
      </c>
      <c r="AL65" s="316">
        <f t="shared" si="21"/>
        <v>0</v>
      </c>
      <c r="AM65" s="316">
        <f t="shared" si="21"/>
        <v>0</v>
      </c>
      <c r="AN65" s="316">
        <f t="shared" si="21"/>
        <v>0</v>
      </c>
      <c r="AO65" s="316">
        <f t="shared" si="21"/>
        <v>0</v>
      </c>
    </row>
    <row r="66" spans="1:41" x14ac:dyDescent="0.2">
      <c r="B66" s="571">
        <f t="shared" si="18"/>
        <v>32</v>
      </c>
      <c r="C66" s="606">
        <f t="shared" si="12"/>
        <v>0</v>
      </c>
      <c r="D66" s="607">
        <f t="shared" si="13"/>
        <v>0</v>
      </c>
      <c r="E66" s="608">
        <f t="shared" si="14"/>
        <v>0</v>
      </c>
      <c r="F66" s="316">
        <f t="shared" si="20"/>
        <v>0</v>
      </c>
      <c r="G66" s="316">
        <f t="shared" si="20"/>
        <v>0</v>
      </c>
      <c r="H66" s="316">
        <f t="shared" si="20"/>
        <v>0</v>
      </c>
      <c r="I66" s="316">
        <f t="shared" si="20"/>
        <v>0</v>
      </c>
      <c r="J66" s="316">
        <f t="shared" si="20"/>
        <v>0</v>
      </c>
      <c r="K66" s="316">
        <f t="shared" si="20"/>
        <v>0</v>
      </c>
      <c r="L66" s="316">
        <f t="shared" si="20"/>
        <v>0</v>
      </c>
      <c r="M66" s="316">
        <f t="shared" si="20"/>
        <v>0</v>
      </c>
      <c r="N66" s="316">
        <f t="shared" si="20"/>
        <v>0</v>
      </c>
      <c r="O66" s="316">
        <f t="shared" si="20"/>
        <v>0</v>
      </c>
      <c r="P66" s="316">
        <f t="shared" si="20"/>
        <v>0</v>
      </c>
      <c r="Q66" s="316">
        <f t="shared" si="20"/>
        <v>0</v>
      </c>
      <c r="R66" s="316">
        <f t="shared" si="20"/>
        <v>0</v>
      </c>
      <c r="S66" s="316">
        <f t="shared" si="20"/>
        <v>0</v>
      </c>
      <c r="T66" s="316">
        <f t="shared" si="20"/>
        <v>0</v>
      </c>
      <c r="U66" s="316">
        <f t="shared" si="20"/>
        <v>0</v>
      </c>
      <c r="V66" s="316">
        <f t="shared" ref="P66:AE70" si="22">(IF($B66&lt;=V$31,(HLOOKUP((V$31-$B66+1),$F$31:$AO$33,3,FALSE)),0))*HLOOKUP($B66,$F$4:$AO$23,20,FALSE)</f>
        <v>0</v>
      </c>
      <c r="W66" s="316">
        <f t="shared" si="22"/>
        <v>0</v>
      </c>
      <c r="X66" s="316">
        <f t="shared" si="22"/>
        <v>0</v>
      </c>
      <c r="Y66" s="316">
        <f t="shared" si="22"/>
        <v>0</v>
      </c>
      <c r="Z66" s="316">
        <f t="shared" si="21"/>
        <v>0</v>
      </c>
      <c r="AA66" s="316">
        <f t="shared" si="21"/>
        <v>0</v>
      </c>
      <c r="AB66" s="316">
        <f t="shared" si="21"/>
        <v>0</v>
      </c>
      <c r="AC66" s="316">
        <f t="shared" si="21"/>
        <v>0</v>
      </c>
      <c r="AD66" s="316">
        <f t="shared" si="21"/>
        <v>0</v>
      </c>
      <c r="AE66" s="316">
        <f t="shared" si="21"/>
        <v>0</v>
      </c>
      <c r="AF66" s="316">
        <f t="shared" si="21"/>
        <v>0</v>
      </c>
      <c r="AG66" s="316">
        <f t="shared" si="21"/>
        <v>0</v>
      </c>
      <c r="AH66" s="316">
        <f t="shared" si="21"/>
        <v>0</v>
      </c>
      <c r="AI66" s="316">
        <f t="shared" si="21"/>
        <v>0</v>
      </c>
      <c r="AJ66" s="316">
        <f t="shared" si="21"/>
        <v>0</v>
      </c>
      <c r="AK66" s="316">
        <f t="shared" si="21"/>
        <v>0</v>
      </c>
      <c r="AL66" s="316">
        <f t="shared" si="21"/>
        <v>0</v>
      </c>
      <c r="AM66" s="316">
        <f t="shared" si="21"/>
        <v>0</v>
      </c>
      <c r="AN66" s="316">
        <f t="shared" si="21"/>
        <v>0</v>
      </c>
      <c r="AO66" s="316">
        <f t="shared" si="21"/>
        <v>0</v>
      </c>
    </row>
    <row r="67" spans="1:41" x14ac:dyDescent="0.2">
      <c r="B67" s="571">
        <f t="shared" si="18"/>
        <v>33</v>
      </c>
      <c r="C67" s="606">
        <f t="shared" si="12"/>
        <v>0</v>
      </c>
      <c r="D67" s="607">
        <f t="shared" si="13"/>
        <v>0</v>
      </c>
      <c r="E67" s="608">
        <f t="shared" si="14"/>
        <v>0</v>
      </c>
      <c r="F67" s="316">
        <f t="shared" ref="F67:O70" si="23">(IF($B67&lt;=F$31,(HLOOKUP((F$31-$B67+1),$F$31:$AO$33,3,FALSE)),0))*HLOOKUP($B67,$F$4:$AO$23,20,FALSE)</f>
        <v>0</v>
      </c>
      <c r="G67" s="316">
        <f t="shared" si="23"/>
        <v>0</v>
      </c>
      <c r="H67" s="316">
        <f t="shared" si="23"/>
        <v>0</v>
      </c>
      <c r="I67" s="316">
        <f t="shared" si="23"/>
        <v>0</v>
      </c>
      <c r="J67" s="316">
        <f t="shared" si="23"/>
        <v>0</v>
      </c>
      <c r="K67" s="316">
        <f t="shared" si="23"/>
        <v>0</v>
      </c>
      <c r="L67" s="316">
        <f t="shared" si="23"/>
        <v>0</v>
      </c>
      <c r="M67" s="316">
        <f t="shared" si="23"/>
        <v>0</v>
      </c>
      <c r="N67" s="316">
        <f t="shared" si="23"/>
        <v>0</v>
      </c>
      <c r="O67" s="316">
        <f t="shared" si="23"/>
        <v>0</v>
      </c>
      <c r="P67" s="316">
        <f t="shared" si="22"/>
        <v>0</v>
      </c>
      <c r="Q67" s="316">
        <f t="shared" si="22"/>
        <v>0</v>
      </c>
      <c r="R67" s="316">
        <f t="shared" si="22"/>
        <v>0</v>
      </c>
      <c r="S67" s="316">
        <f t="shared" si="22"/>
        <v>0</v>
      </c>
      <c r="T67" s="316">
        <f t="shared" si="22"/>
        <v>0</v>
      </c>
      <c r="U67" s="316">
        <f t="shared" si="22"/>
        <v>0</v>
      </c>
      <c r="V67" s="316">
        <f t="shared" si="22"/>
        <v>0</v>
      </c>
      <c r="W67" s="316">
        <f t="shared" si="22"/>
        <v>0</v>
      </c>
      <c r="X67" s="316">
        <f t="shared" si="22"/>
        <v>0</v>
      </c>
      <c r="Y67" s="316">
        <f t="shared" si="22"/>
        <v>0</v>
      </c>
      <c r="Z67" s="316">
        <f t="shared" si="22"/>
        <v>0</v>
      </c>
      <c r="AA67" s="316">
        <f t="shared" si="22"/>
        <v>0</v>
      </c>
      <c r="AB67" s="316">
        <f t="shared" si="22"/>
        <v>0</v>
      </c>
      <c r="AC67" s="316">
        <f t="shared" si="22"/>
        <v>0</v>
      </c>
      <c r="AD67" s="316">
        <f t="shared" si="22"/>
        <v>0</v>
      </c>
      <c r="AE67" s="316">
        <f t="shared" si="22"/>
        <v>0</v>
      </c>
      <c r="AF67" s="316">
        <f t="shared" ref="Z67:AO70" si="24">(IF($B67&lt;=AF$31,(HLOOKUP((AF$31-$B67+1),$F$31:$AO$33,3,FALSE)),0))*HLOOKUP($B67,$F$4:$AO$23,20,FALSE)</f>
        <v>0</v>
      </c>
      <c r="AG67" s="316">
        <f t="shared" si="24"/>
        <v>0</v>
      </c>
      <c r="AH67" s="316">
        <f t="shared" si="24"/>
        <v>0</v>
      </c>
      <c r="AI67" s="316">
        <f t="shared" si="24"/>
        <v>0</v>
      </c>
      <c r="AJ67" s="316">
        <f t="shared" si="24"/>
        <v>0</v>
      </c>
      <c r="AK67" s="316">
        <f t="shared" si="24"/>
        <v>0</v>
      </c>
      <c r="AL67" s="316">
        <f t="shared" si="24"/>
        <v>0</v>
      </c>
      <c r="AM67" s="316">
        <f t="shared" si="24"/>
        <v>0</v>
      </c>
      <c r="AN67" s="316">
        <f t="shared" si="24"/>
        <v>0</v>
      </c>
      <c r="AO67" s="316">
        <f t="shared" si="24"/>
        <v>0</v>
      </c>
    </row>
    <row r="68" spans="1:41" x14ac:dyDescent="0.2">
      <c r="B68" s="571">
        <f>+B67+1</f>
        <v>34</v>
      </c>
      <c r="C68" s="606">
        <f t="shared" si="12"/>
        <v>0</v>
      </c>
      <c r="D68" s="607">
        <f t="shared" si="13"/>
        <v>0</v>
      </c>
      <c r="E68" s="608">
        <f t="shared" si="14"/>
        <v>0</v>
      </c>
      <c r="F68" s="316">
        <f t="shared" si="23"/>
        <v>0</v>
      </c>
      <c r="G68" s="316">
        <f t="shared" si="23"/>
        <v>0</v>
      </c>
      <c r="H68" s="316">
        <f t="shared" si="23"/>
        <v>0</v>
      </c>
      <c r="I68" s="316">
        <f t="shared" si="23"/>
        <v>0</v>
      </c>
      <c r="J68" s="316">
        <f t="shared" si="23"/>
        <v>0</v>
      </c>
      <c r="K68" s="316">
        <f t="shared" si="23"/>
        <v>0</v>
      </c>
      <c r="L68" s="316">
        <f t="shared" si="23"/>
        <v>0</v>
      </c>
      <c r="M68" s="316">
        <f t="shared" si="23"/>
        <v>0</v>
      </c>
      <c r="N68" s="316">
        <f t="shared" si="23"/>
        <v>0</v>
      </c>
      <c r="O68" s="316">
        <f t="shared" si="23"/>
        <v>0</v>
      </c>
      <c r="P68" s="316">
        <f t="shared" si="22"/>
        <v>0</v>
      </c>
      <c r="Q68" s="316">
        <f t="shared" si="22"/>
        <v>0</v>
      </c>
      <c r="R68" s="316">
        <f t="shared" si="22"/>
        <v>0</v>
      </c>
      <c r="S68" s="316">
        <f t="shared" si="22"/>
        <v>0</v>
      </c>
      <c r="T68" s="316">
        <f t="shared" si="22"/>
        <v>0</v>
      </c>
      <c r="U68" s="316">
        <f t="shared" si="22"/>
        <v>0</v>
      </c>
      <c r="V68" s="316">
        <f t="shared" si="22"/>
        <v>0</v>
      </c>
      <c r="W68" s="316">
        <f t="shared" si="22"/>
        <v>0</v>
      </c>
      <c r="X68" s="316">
        <f t="shared" si="22"/>
        <v>0</v>
      </c>
      <c r="Y68" s="316">
        <f t="shared" si="22"/>
        <v>0</v>
      </c>
      <c r="Z68" s="316">
        <f t="shared" si="24"/>
        <v>0</v>
      </c>
      <c r="AA68" s="316">
        <f t="shared" si="24"/>
        <v>0</v>
      </c>
      <c r="AB68" s="316">
        <f t="shared" si="24"/>
        <v>0</v>
      </c>
      <c r="AC68" s="316">
        <f t="shared" si="24"/>
        <v>0</v>
      </c>
      <c r="AD68" s="316">
        <f t="shared" si="24"/>
        <v>0</v>
      </c>
      <c r="AE68" s="316">
        <f t="shared" si="24"/>
        <v>0</v>
      </c>
      <c r="AF68" s="316">
        <f t="shared" si="24"/>
        <v>0</v>
      </c>
      <c r="AG68" s="316">
        <f t="shared" si="24"/>
        <v>0</v>
      </c>
      <c r="AH68" s="316">
        <f t="shared" si="24"/>
        <v>0</v>
      </c>
      <c r="AI68" s="316">
        <f t="shared" si="24"/>
        <v>0</v>
      </c>
      <c r="AJ68" s="316">
        <f t="shared" si="24"/>
        <v>0</v>
      </c>
      <c r="AK68" s="316">
        <f t="shared" si="24"/>
        <v>0</v>
      </c>
      <c r="AL68" s="316">
        <f t="shared" si="24"/>
        <v>0</v>
      </c>
      <c r="AM68" s="316">
        <f t="shared" si="24"/>
        <v>0</v>
      </c>
      <c r="AN68" s="316">
        <f t="shared" si="24"/>
        <v>0</v>
      </c>
      <c r="AO68" s="316">
        <f t="shared" si="24"/>
        <v>0</v>
      </c>
    </row>
    <row r="69" spans="1:41" x14ac:dyDescent="0.2">
      <c r="B69" s="571">
        <f t="shared" si="18"/>
        <v>35</v>
      </c>
      <c r="C69" s="606">
        <f t="shared" si="12"/>
        <v>0</v>
      </c>
      <c r="D69" s="607">
        <f t="shared" si="13"/>
        <v>0</v>
      </c>
      <c r="E69" s="608">
        <f t="shared" si="14"/>
        <v>0</v>
      </c>
      <c r="F69" s="316">
        <f t="shared" si="23"/>
        <v>0</v>
      </c>
      <c r="G69" s="316">
        <f t="shared" si="23"/>
        <v>0</v>
      </c>
      <c r="H69" s="316">
        <f t="shared" si="23"/>
        <v>0</v>
      </c>
      <c r="I69" s="316">
        <f t="shared" si="23"/>
        <v>0</v>
      </c>
      <c r="J69" s="316">
        <f t="shared" si="23"/>
        <v>0</v>
      </c>
      <c r="K69" s="316">
        <f t="shared" si="23"/>
        <v>0</v>
      </c>
      <c r="L69" s="316">
        <f t="shared" si="23"/>
        <v>0</v>
      </c>
      <c r="M69" s="316">
        <f t="shared" si="23"/>
        <v>0</v>
      </c>
      <c r="N69" s="316">
        <f t="shared" si="23"/>
        <v>0</v>
      </c>
      <c r="O69" s="316">
        <f t="shared" si="23"/>
        <v>0</v>
      </c>
      <c r="P69" s="316">
        <f t="shared" si="22"/>
        <v>0</v>
      </c>
      <c r="Q69" s="316">
        <f t="shared" si="22"/>
        <v>0</v>
      </c>
      <c r="R69" s="316">
        <f t="shared" si="22"/>
        <v>0</v>
      </c>
      <c r="S69" s="316">
        <f t="shared" si="22"/>
        <v>0</v>
      </c>
      <c r="T69" s="316">
        <f t="shared" si="22"/>
        <v>0</v>
      </c>
      <c r="U69" s="316">
        <f t="shared" si="22"/>
        <v>0</v>
      </c>
      <c r="V69" s="316">
        <f t="shared" si="22"/>
        <v>0</v>
      </c>
      <c r="W69" s="316">
        <f t="shared" si="22"/>
        <v>0</v>
      </c>
      <c r="X69" s="316">
        <f t="shared" si="22"/>
        <v>0</v>
      </c>
      <c r="Y69" s="316">
        <f t="shared" si="22"/>
        <v>0</v>
      </c>
      <c r="Z69" s="316">
        <f t="shared" si="24"/>
        <v>0</v>
      </c>
      <c r="AA69" s="316">
        <f t="shared" si="24"/>
        <v>0</v>
      </c>
      <c r="AB69" s="316">
        <f t="shared" si="24"/>
        <v>0</v>
      </c>
      <c r="AC69" s="316">
        <f t="shared" si="24"/>
        <v>0</v>
      </c>
      <c r="AD69" s="316">
        <f t="shared" si="24"/>
        <v>0</v>
      </c>
      <c r="AE69" s="316">
        <f t="shared" si="24"/>
        <v>0</v>
      </c>
      <c r="AF69" s="316">
        <f t="shared" si="24"/>
        <v>0</v>
      </c>
      <c r="AG69" s="316">
        <f t="shared" si="24"/>
        <v>0</v>
      </c>
      <c r="AH69" s="316">
        <f t="shared" si="24"/>
        <v>0</v>
      </c>
      <c r="AI69" s="316">
        <f t="shared" si="24"/>
        <v>0</v>
      </c>
      <c r="AJ69" s="316">
        <f t="shared" si="24"/>
        <v>0</v>
      </c>
      <c r="AK69" s="316">
        <f t="shared" si="24"/>
        <v>0</v>
      </c>
      <c r="AL69" s="316">
        <f t="shared" si="24"/>
        <v>0</v>
      </c>
      <c r="AM69" s="316">
        <f t="shared" si="24"/>
        <v>0</v>
      </c>
      <c r="AN69" s="316">
        <f t="shared" si="24"/>
        <v>0</v>
      </c>
      <c r="AO69" s="316">
        <f t="shared" si="24"/>
        <v>0</v>
      </c>
    </row>
    <row r="70" spans="1:41" x14ac:dyDescent="0.2">
      <c r="B70" s="571">
        <f t="shared" si="18"/>
        <v>36</v>
      </c>
      <c r="C70" s="606">
        <f t="shared" si="12"/>
        <v>0</v>
      </c>
      <c r="D70" s="607">
        <f t="shared" si="13"/>
        <v>0</v>
      </c>
      <c r="E70" s="608">
        <f t="shared" si="14"/>
        <v>0</v>
      </c>
      <c r="F70" s="316">
        <f t="shared" si="23"/>
        <v>0</v>
      </c>
      <c r="G70" s="316">
        <f t="shared" si="23"/>
        <v>0</v>
      </c>
      <c r="H70" s="316">
        <f t="shared" si="23"/>
        <v>0</v>
      </c>
      <c r="I70" s="316">
        <f t="shared" si="23"/>
        <v>0</v>
      </c>
      <c r="J70" s="316">
        <f t="shared" si="23"/>
        <v>0</v>
      </c>
      <c r="K70" s="316">
        <f t="shared" si="23"/>
        <v>0</v>
      </c>
      <c r="L70" s="316">
        <f t="shared" si="23"/>
        <v>0</v>
      </c>
      <c r="M70" s="316">
        <f t="shared" si="23"/>
        <v>0</v>
      </c>
      <c r="N70" s="316">
        <f t="shared" si="23"/>
        <v>0</v>
      </c>
      <c r="O70" s="316">
        <f t="shared" si="23"/>
        <v>0</v>
      </c>
      <c r="P70" s="316">
        <f t="shared" si="22"/>
        <v>0</v>
      </c>
      <c r="Q70" s="316">
        <f t="shared" si="22"/>
        <v>0</v>
      </c>
      <c r="R70" s="316">
        <f t="shared" si="22"/>
        <v>0</v>
      </c>
      <c r="S70" s="316">
        <f t="shared" si="22"/>
        <v>0</v>
      </c>
      <c r="T70" s="316">
        <f t="shared" si="22"/>
        <v>0</v>
      </c>
      <c r="U70" s="316">
        <f t="shared" si="22"/>
        <v>0</v>
      </c>
      <c r="V70" s="316">
        <f t="shared" si="22"/>
        <v>0</v>
      </c>
      <c r="W70" s="316">
        <f t="shared" si="22"/>
        <v>0</v>
      </c>
      <c r="X70" s="316">
        <f t="shared" si="22"/>
        <v>0</v>
      </c>
      <c r="Y70" s="316">
        <f t="shared" si="22"/>
        <v>0</v>
      </c>
      <c r="Z70" s="316">
        <f t="shared" si="24"/>
        <v>0</v>
      </c>
      <c r="AA70" s="316">
        <f t="shared" si="24"/>
        <v>0</v>
      </c>
      <c r="AB70" s="316">
        <f t="shared" si="24"/>
        <v>0</v>
      </c>
      <c r="AC70" s="316">
        <f t="shared" si="24"/>
        <v>0</v>
      </c>
      <c r="AD70" s="316">
        <f t="shared" si="24"/>
        <v>0</v>
      </c>
      <c r="AE70" s="316">
        <f t="shared" si="24"/>
        <v>0</v>
      </c>
      <c r="AF70" s="316">
        <f t="shared" si="24"/>
        <v>0</v>
      </c>
      <c r="AG70" s="316">
        <f t="shared" si="24"/>
        <v>0</v>
      </c>
      <c r="AH70" s="316">
        <f t="shared" si="24"/>
        <v>0</v>
      </c>
      <c r="AI70" s="316">
        <f t="shared" si="24"/>
        <v>0</v>
      </c>
      <c r="AJ70" s="316">
        <f t="shared" si="24"/>
        <v>0</v>
      </c>
      <c r="AK70" s="316">
        <f t="shared" si="24"/>
        <v>0</v>
      </c>
      <c r="AL70" s="316">
        <f t="shared" si="24"/>
        <v>0</v>
      </c>
      <c r="AM70" s="316">
        <f t="shared" si="24"/>
        <v>0</v>
      </c>
      <c r="AN70" s="316">
        <f t="shared" si="24"/>
        <v>0</v>
      </c>
      <c r="AO70" s="316">
        <f t="shared" si="24"/>
        <v>0</v>
      </c>
    </row>
    <row r="71" spans="1:41" x14ac:dyDescent="0.2">
      <c r="A71" s="136" t="s">
        <v>343</v>
      </c>
      <c r="B71" s="136"/>
      <c r="C71" s="609">
        <f t="shared" ref="C71" si="25">SUM(C35:C70)</f>
        <v>0</v>
      </c>
      <c r="D71" s="438">
        <f t="shared" ref="D71:AO71" si="26">SUM(D35:D70)</f>
        <v>0</v>
      </c>
      <c r="E71" s="610">
        <f t="shared" si="26"/>
        <v>0</v>
      </c>
      <c r="F71" s="438">
        <f t="shared" si="26"/>
        <v>0</v>
      </c>
      <c r="G71" s="438">
        <f t="shared" si="26"/>
        <v>0</v>
      </c>
      <c r="H71" s="438">
        <f t="shared" si="26"/>
        <v>0</v>
      </c>
      <c r="I71" s="438">
        <f t="shared" si="26"/>
        <v>0</v>
      </c>
      <c r="J71" s="438">
        <f t="shared" si="26"/>
        <v>0</v>
      </c>
      <c r="K71" s="438">
        <f t="shared" si="26"/>
        <v>0</v>
      </c>
      <c r="L71" s="438">
        <f t="shared" si="26"/>
        <v>0</v>
      </c>
      <c r="M71" s="438">
        <f t="shared" si="26"/>
        <v>0</v>
      </c>
      <c r="N71" s="438">
        <f t="shared" si="26"/>
        <v>0</v>
      </c>
      <c r="O71" s="438">
        <f t="shared" si="26"/>
        <v>0</v>
      </c>
      <c r="P71" s="438">
        <f t="shared" si="26"/>
        <v>0</v>
      </c>
      <c r="Q71" s="438">
        <f t="shared" si="26"/>
        <v>0</v>
      </c>
      <c r="R71" s="438">
        <f t="shared" si="26"/>
        <v>0</v>
      </c>
      <c r="S71" s="438">
        <f t="shared" si="26"/>
        <v>0</v>
      </c>
      <c r="T71" s="438">
        <f t="shared" si="26"/>
        <v>0</v>
      </c>
      <c r="U71" s="438">
        <f t="shared" si="26"/>
        <v>0</v>
      </c>
      <c r="V71" s="438">
        <f t="shared" si="26"/>
        <v>0</v>
      </c>
      <c r="W71" s="438">
        <f t="shared" si="26"/>
        <v>0</v>
      </c>
      <c r="X71" s="438">
        <f t="shared" si="26"/>
        <v>0</v>
      </c>
      <c r="Y71" s="438">
        <f t="shared" si="26"/>
        <v>0</v>
      </c>
      <c r="Z71" s="438">
        <f t="shared" si="26"/>
        <v>0</v>
      </c>
      <c r="AA71" s="438">
        <f t="shared" si="26"/>
        <v>0</v>
      </c>
      <c r="AB71" s="438">
        <f t="shared" si="26"/>
        <v>0</v>
      </c>
      <c r="AC71" s="438">
        <f t="shared" si="26"/>
        <v>0</v>
      </c>
      <c r="AD71" s="438">
        <f t="shared" si="26"/>
        <v>0</v>
      </c>
      <c r="AE71" s="438">
        <f t="shared" si="26"/>
        <v>0</v>
      </c>
      <c r="AF71" s="438">
        <f t="shared" si="26"/>
        <v>0</v>
      </c>
      <c r="AG71" s="438">
        <f t="shared" si="26"/>
        <v>0</v>
      </c>
      <c r="AH71" s="438">
        <f t="shared" si="26"/>
        <v>0</v>
      </c>
      <c r="AI71" s="438">
        <f t="shared" si="26"/>
        <v>0</v>
      </c>
      <c r="AJ71" s="438">
        <f t="shared" si="26"/>
        <v>0</v>
      </c>
      <c r="AK71" s="438">
        <f t="shared" si="26"/>
        <v>0</v>
      </c>
      <c r="AL71" s="438">
        <f t="shared" si="26"/>
        <v>0</v>
      </c>
      <c r="AM71" s="438">
        <f t="shared" si="26"/>
        <v>0</v>
      </c>
      <c r="AN71" s="438">
        <f t="shared" si="26"/>
        <v>0</v>
      </c>
      <c r="AO71" s="438">
        <f t="shared" si="26"/>
        <v>0</v>
      </c>
    </row>
    <row r="72" spans="1:41" x14ac:dyDescent="0.2">
      <c r="C72" s="588"/>
      <c r="E72" s="589"/>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row>
    <row r="73" spans="1:41" x14ac:dyDescent="0.2">
      <c r="A73" s="49" t="s">
        <v>344</v>
      </c>
      <c r="C73" s="606"/>
      <c r="D73" s="607"/>
      <c r="E73" s="608"/>
      <c r="F73" s="316">
        <f>+F71</f>
        <v>0</v>
      </c>
      <c r="G73" s="316">
        <f t="shared" ref="G73:I73" si="27">F71*(1-$G$27)</f>
        <v>0</v>
      </c>
      <c r="H73" s="316">
        <f t="shared" si="27"/>
        <v>0</v>
      </c>
      <c r="I73" s="316">
        <f t="shared" si="27"/>
        <v>0</v>
      </c>
      <c r="J73" s="316">
        <f>I71*(1-$G$27)</f>
        <v>0</v>
      </c>
      <c r="K73" s="316">
        <f t="shared" ref="K73:AO73" si="28">J71*(1-$G$27)</f>
        <v>0</v>
      </c>
      <c r="L73" s="316">
        <f t="shared" si="28"/>
        <v>0</v>
      </c>
      <c r="M73" s="316">
        <f t="shared" si="28"/>
        <v>0</v>
      </c>
      <c r="N73" s="316">
        <f t="shared" si="28"/>
        <v>0</v>
      </c>
      <c r="O73" s="316">
        <f t="shared" si="28"/>
        <v>0</v>
      </c>
      <c r="P73" s="316">
        <f t="shared" si="28"/>
        <v>0</v>
      </c>
      <c r="Q73" s="316">
        <f t="shared" si="28"/>
        <v>0</v>
      </c>
      <c r="R73" s="316">
        <f t="shared" si="28"/>
        <v>0</v>
      </c>
      <c r="S73" s="316">
        <f t="shared" si="28"/>
        <v>0</v>
      </c>
      <c r="T73" s="316">
        <f t="shared" si="28"/>
        <v>0</v>
      </c>
      <c r="U73" s="316">
        <f t="shared" si="28"/>
        <v>0</v>
      </c>
      <c r="V73" s="316">
        <f t="shared" si="28"/>
        <v>0</v>
      </c>
      <c r="W73" s="316">
        <f t="shared" si="28"/>
        <v>0</v>
      </c>
      <c r="X73" s="316">
        <f t="shared" si="28"/>
        <v>0</v>
      </c>
      <c r="Y73" s="316">
        <f t="shared" si="28"/>
        <v>0</v>
      </c>
      <c r="Z73" s="316">
        <f t="shared" si="28"/>
        <v>0</v>
      </c>
      <c r="AA73" s="316">
        <f t="shared" si="28"/>
        <v>0</v>
      </c>
      <c r="AB73" s="316">
        <f t="shared" si="28"/>
        <v>0</v>
      </c>
      <c r="AC73" s="316">
        <f t="shared" si="28"/>
        <v>0</v>
      </c>
      <c r="AD73" s="316">
        <f t="shared" si="28"/>
        <v>0</v>
      </c>
      <c r="AE73" s="316">
        <f t="shared" si="28"/>
        <v>0</v>
      </c>
      <c r="AF73" s="316">
        <f t="shared" si="28"/>
        <v>0</v>
      </c>
      <c r="AG73" s="316">
        <f t="shared" si="28"/>
        <v>0</v>
      </c>
      <c r="AH73" s="316">
        <f t="shared" si="28"/>
        <v>0</v>
      </c>
      <c r="AI73" s="316">
        <f t="shared" si="28"/>
        <v>0</v>
      </c>
      <c r="AJ73" s="316">
        <f t="shared" si="28"/>
        <v>0</v>
      </c>
      <c r="AK73" s="316">
        <f t="shared" si="28"/>
        <v>0</v>
      </c>
      <c r="AL73" s="316">
        <f t="shared" si="28"/>
        <v>0</v>
      </c>
      <c r="AM73" s="316">
        <f t="shared" si="28"/>
        <v>0</v>
      </c>
      <c r="AN73" s="316">
        <f t="shared" si="28"/>
        <v>0</v>
      </c>
      <c r="AO73" s="316">
        <f t="shared" si="28"/>
        <v>0</v>
      </c>
    </row>
    <row r="74" spans="1:41" x14ac:dyDescent="0.2">
      <c r="A74" s="49" t="s">
        <v>345</v>
      </c>
      <c r="C74" s="606">
        <f>SUM(F74:Q74)</f>
        <v>0</v>
      </c>
      <c r="D74" s="607">
        <f>SUM(R74:AC74)</f>
        <v>0</v>
      </c>
      <c r="E74" s="608">
        <f>SUM(AD74:AO74)</f>
        <v>0</v>
      </c>
      <c r="F74" s="316">
        <f t="shared" ref="F74:J74" si="29">+F71-F73</f>
        <v>0</v>
      </c>
      <c r="G74" s="316">
        <f t="shared" si="29"/>
        <v>0</v>
      </c>
      <c r="H74" s="316">
        <f t="shared" si="29"/>
        <v>0</v>
      </c>
      <c r="I74" s="316">
        <f t="shared" si="29"/>
        <v>0</v>
      </c>
      <c r="J74" s="316">
        <f t="shared" si="29"/>
        <v>0</v>
      </c>
      <c r="K74" s="316">
        <f>+K71-K73</f>
        <v>0</v>
      </c>
      <c r="L74" s="316">
        <f t="shared" ref="L74:AO74" si="30">+L71-L73</f>
        <v>0</v>
      </c>
      <c r="M74" s="316">
        <f t="shared" si="30"/>
        <v>0</v>
      </c>
      <c r="N74" s="316">
        <f t="shared" si="30"/>
        <v>0</v>
      </c>
      <c r="O74" s="316">
        <f t="shared" si="30"/>
        <v>0</v>
      </c>
      <c r="P74" s="316">
        <f t="shared" si="30"/>
        <v>0</v>
      </c>
      <c r="Q74" s="316">
        <f t="shared" si="30"/>
        <v>0</v>
      </c>
      <c r="R74" s="316">
        <f t="shared" si="30"/>
        <v>0</v>
      </c>
      <c r="S74" s="316">
        <f t="shared" si="30"/>
        <v>0</v>
      </c>
      <c r="T74" s="316">
        <f t="shared" si="30"/>
        <v>0</v>
      </c>
      <c r="U74" s="316">
        <f t="shared" si="30"/>
        <v>0</v>
      </c>
      <c r="V74" s="316">
        <f t="shared" si="30"/>
        <v>0</v>
      </c>
      <c r="W74" s="316">
        <f t="shared" si="30"/>
        <v>0</v>
      </c>
      <c r="X74" s="316">
        <f t="shared" si="30"/>
        <v>0</v>
      </c>
      <c r="Y74" s="316">
        <f t="shared" si="30"/>
        <v>0</v>
      </c>
      <c r="Z74" s="316">
        <f t="shared" si="30"/>
        <v>0</v>
      </c>
      <c r="AA74" s="316">
        <f t="shared" si="30"/>
        <v>0</v>
      </c>
      <c r="AB74" s="316">
        <f t="shared" si="30"/>
        <v>0</v>
      </c>
      <c r="AC74" s="316">
        <f t="shared" si="30"/>
        <v>0</v>
      </c>
      <c r="AD74" s="316">
        <f t="shared" si="30"/>
        <v>0</v>
      </c>
      <c r="AE74" s="316">
        <f t="shared" si="30"/>
        <v>0</v>
      </c>
      <c r="AF74" s="316">
        <f t="shared" si="30"/>
        <v>0</v>
      </c>
      <c r="AG74" s="316">
        <f t="shared" si="30"/>
        <v>0</v>
      </c>
      <c r="AH74" s="316">
        <f t="shared" si="30"/>
        <v>0</v>
      </c>
      <c r="AI74" s="316">
        <f t="shared" si="30"/>
        <v>0</v>
      </c>
      <c r="AJ74" s="316">
        <f t="shared" si="30"/>
        <v>0</v>
      </c>
      <c r="AK74" s="316">
        <f t="shared" si="30"/>
        <v>0</v>
      </c>
      <c r="AL74" s="316">
        <f t="shared" si="30"/>
        <v>0</v>
      </c>
      <c r="AM74" s="316">
        <f t="shared" si="30"/>
        <v>0</v>
      </c>
      <c r="AN74" s="316">
        <f t="shared" si="30"/>
        <v>0</v>
      </c>
      <c r="AO74" s="316">
        <f t="shared" si="30"/>
        <v>0</v>
      </c>
    </row>
    <row r="75" spans="1:41" x14ac:dyDescent="0.2">
      <c r="A75" s="49" t="s">
        <v>346</v>
      </c>
      <c r="C75" s="606">
        <f>Q75</f>
        <v>0</v>
      </c>
      <c r="D75" s="607">
        <f>+AC75</f>
        <v>0</v>
      </c>
      <c r="E75" s="608">
        <f>+AO75</f>
        <v>0</v>
      </c>
      <c r="F75" s="316">
        <f>+B75+F74</f>
        <v>0</v>
      </c>
      <c r="G75" s="316">
        <f t="shared" ref="G75:H75" si="31">+F75+G74</f>
        <v>0</v>
      </c>
      <c r="H75" s="316">
        <f t="shared" si="31"/>
        <v>0</v>
      </c>
      <c r="I75" s="316">
        <f>+H75+I74</f>
        <v>0</v>
      </c>
      <c r="J75" s="316">
        <f t="shared" ref="J75:AO75" si="32">+I75+J74</f>
        <v>0</v>
      </c>
      <c r="K75" s="316">
        <f t="shared" si="32"/>
        <v>0</v>
      </c>
      <c r="L75" s="316">
        <f t="shared" si="32"/>
        <v>0</v>
      </c>
      <c r="M75" s="316">
        <f t="shared" si="32"/>
        <v>0</v>
      </c>
      <c r="N75" s="316">
        <f t="shared" si="32"/>
        <v>0</v>
      </c>
      <c r="O75" s="316">
        <f t="shared" si="32"/>
        <v>0</v>
      </c>
      <c r="P75" s="316">
        <f t="shared" si="32"/>
        <v>0</v>
      </c>
      <c r="Q75" s="316">
        <f t="shared" si="32"/>
        <v>0</v>
      </c>
      <c r="R75" s="316">
        <f t="shared" si="32"/>
        <v>0</v>
      </c>
      <c r="S75" s="316">
        <f t="shared" si="32"/>
        <v>0</v>
      </c>
      <c r="T75" s="316">
        <f t="shared" si="32"/>
        <v>0</v>
      </c>
      <c r="U75" s="316">
        <f t="shared" si="32"/>
        <v>0</v>
      </c>
      <c r="V75" s="316">
        <f t="shared" si="32"/>
        <v>0</v>
      </c>
      <c r="W75" s="316">
        <f t="shared" si="32"/>
        <v>0</v>
      </c>
      <c r="X75" s="316">
        <f t="shared" si="32"/>
        <v>0</v>
      </c>
      <c r="Y75" s="316">
        <f t="shared" si="32"/>
        <v>0</v>
      </c>
      <c r="Z75" s="316">
        <f t="shared" si="32"/>
        <v>0</v>
      </c>
      <c r="AA75" s="316">
        <f t="shared" si="32"/>
        <v>0</v>
      </c>
      <c r="AB75" s="316">
        <f t="shared" si="32"/>
        <v>0</v>
      </c>
      <c r="AC75" s="316">
        <f t="shared" si="32"/>
        <v>0</v>
      </c>
      <c r="AD75" s="316">
        <f t="shared" si="32"/>
        <v>0</v>
      </c>
      <c r="AE75" s="316">
        <f t="shared" si="32"/>
        <v>0</v>
      </c>
      <c r="AF75" s="316">
        <f t="shared" si="32"/>
        <v>0</v>
      </c>
      <c r="AG75" s="316">
        <f t="shared" si="32"/>
        <v>0</v>
      </c>
      <c r="AH75" s="316">
        <f t="shared" si="32"/>
        <v>0</v>
      </c>
      <c r="AI75" s="316">
        <f t="shared" si="32"/>
        <v>0</v>
      </c>
      <c r="AJ75" s="316">
        <f t="shared" si="32"/>
        <v>0</v>
      </c>
      <c r="AK75" s="316">
        <f t="shared" si="32"/>
        <v>0</v>
      </c>
      <c r="AL75" s="316">
        <f t="shared" si="32"/>
        <v>0</v>
      </c>
      <c r="AM75" s="316">
        <f t="shared" si="32"/>
        <v>0</v>
      </c>
      <c r="AN75" s="316">
        <f t="shared" si="32"/>
        <v>0</v>
      </c>
      <c r="AO75" s="316">
        <f t="shared" si="32"/>
        <v>0</v>
      </c>
    </row>
    <row r="76" spans="1:41" ht="13.5" thickBot="1" x14ac:dyDescent="0.25">
      <c r="C76" s="611"/>
      <c r="D76" s="269"/>
      <c r="E76" s="612"/>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row>
    <row r="77" spans="1:41" x14ac:dyDescent="0.2">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row>
    <row r="78" spans="1:41" x14ac:dyDescent="0.2">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row>
    <row r="79" spans="1:41" x14ac:dyDescent="0.2">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row>
    <row r="80" spans="1:41" x14ac:dyDescent="0.2">
      <c r="F80" s="316"/>
      <c r="G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row>
    <row r="85" spans="13:23" x14ac:dyDescent="0.2">
      <c r="M85" s="316"/>
      <c r="N85" s="316"/>
      <c r="O85" s="316"/>
      <c r="P85" s="316"/>
      <c r="Q85" s="316"/>
      <c r="R85" s="316"/>
      <c r="S85" s="316"/>
      <c r="T85" s="316"/>
      <c r="U85" s="316"/>
      <c r="V85" s="316"/>
      <c r="W85" s="316"/>
    </row>
    <row r="88" spans="13:23" x14ac:dyDescent="0.2">
      <c r="W88" s="31"/>
    </row>
  </sheetData>
  <sheetProtection algorithmName="SHA-512" hashValue="2C/we+usZbiPVTE6AmRk4Q1+TIs2GtJKrmwIEQ5Jn8+AaXjHqa8xjyvzR9teWJaXI/rpxe5T+HeNc/6V63/+1A==" saltValue="N+U8/DCjaAmIKDcUEVeRWQ==" spinCount="100000" sheet="1" objects="1" scenarios="1"/>
  <mergeCells count="3">
    <mergeCell ref="F3:Q3"/>
    <mergeCell ref="R3:AC3"/>
    <mergeCell ref="AD3:AO3"/>
  </mergeCells>
  <pageMargins left="0.7" right="0.7" top="0.75" bottom="0.75" header="0.3" footer="0.3"/>
  <pageSetup orientation="portrait" horizontalDpi="1200" verticalDpi="1200" r:id="rId1"/>
  <headerFooter>
    <oddFooter>&amp;C&amp;1#&amp;"Calibri"&amp;8&amp;KFF8C00This Document is Internal for Nurse-Family Partnership and Child First. Please only Share with Approved Parties.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6471C39C2DFF43BD30150EA9D28AE4" ma:contentTypeVersion="6" ma:contentTypeDescription="Create a new document." ma:contentTypeScope="" ma:versionID="41b833e86b0660a6f7274c79ac548a6e">
  <xsd:schema xmlns:xsd="http://www.w3.org/2001/XMLSchema" xmlns:xs="http://www.w3.org/2001/XMLSchema" xmlns:p="http://schemas.microsoft.com/office/2006/metadata/properties" xmlns:ns2="4176f484-b33e-4964-95b5-908a838c22dc" xmlns:ns3="466964e7-54da-4aa8-ae19-1e257051f343" targetNamespace="http://schemas.microsoft.com/office/2006/metadata/properties" ma:root="true" ma:fieldsID="f6d2eadaa5ac1fe443d68796315c2843" ns2:_="" ns3:_="">
    <xsd:import namespace="4176f484-b33e-4964-95b5-908a838c22dc"/>
    <xsd:import namespace="466964e7-54da-4aa8-ae19-1e257051f3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6f484-b33e-4964-95b5-908a838c22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6964e7-54da-4aa8-ae19-1e257051f34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94871-8673-447E-97A8-DFFD0DC9CB5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AD95726-3CB1-4B78-A641-E78A0E749E81}">
  <ds:schemaRefs>
    <ds:schemaRef ds:uri="http://schemas.microsoft.com/sharepoint/v3/contenttype/forms"/>
  </ds:schemaRefs>
</ds:datastoreItem>
</file>

<file path=customXml/itemProps3.xml><?xml version="1.0" encoding="utf-8"?>
<ds:datastoreItem xmlns:ds="http://schemas.openxmlformats.org/officeDocument/2006/customXml" ds:itemID="{C5797A36-BBDE-48B4-91A4-78086E157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6f484-b33e-4964-95b5-908a838c22dc"/>
    <ds:schemaRef ds:uri="466964e7-54da-4aa8-ae19-1e257051f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Original back up</vt:lpstr>
      <vt:lpstr>Inputs</vt:lpstr>
      <vt:lpstr>Summary</vt:lpstr>
      <vt:lpstr>Calc</vt:lpstr>
      <vt:lpstr>Fees</vt:lpstr>
      <vt:lpstr>New NHVs-Enrollment Calcs</vt:lpstr>
      <vt:lpstr>Calc!Print_Area</vt:lpstr>
      <vt:lpstr>Inputs!Print_Area</vt:lpstr>
      <vt:lpstr>'Original back up'!Print_Area</vt:lpstr>
      <vt:lpstr>Calc!Print_Titles</vt:lpstr>
      <vt:lpstr>Inputs!Print_Titles</vt:lpstr>
      <vt:lpstr>'Original back up'!Print_Titles</vt:lpstr>
    </vt:vector>
  </TitlesOfParts>
  <Manager/>
  <Company>Nurse Family Partnership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Dunlap</dc:creator>
  <cp:keywords/>
  <dc:description/>
  <cp:lastModifiedBy>Joseph Roth</cp:lastModifiedBy>
  <cp:revision/>
  <dcterms:created xsi:type="dcterms:W3CDTF">2006-06-07T21:05:10Z</dcterms:created>
  <dcterms:modified xsi:type="dcterms:W3CDTF">2022-03-21T19:55:20Z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MSIP_Label_9d566160-095f-49ad-a492-939c63d1dbb9_Enabled">
    <vt:lpwstr>true</vt:lpwstr>
  </property>
  <property fmtid="{D5CDD505-2E9C-101B-9397-08002B2CF9AE}" pid="4" name="MSIP_Label_9d566160-095f-49ad-a492-939c63d1dbb9_SetDate">
    <vt:lpwstr>2021-11-12T22:14:43Z</vt:lpwstr>
  </property>
  <property fmtid="{D5CDD505-2E9C-101B-9397-08002B2CF9AE}" pid="5" name="MSIP_Label_9d566160-095f-49ad-a492-939c63d1dbb9_Method">
    <vt:lpwstr>Privileged</vt:lpwstr>
  </property>
  <property fmtid="{D5CDD505-2E9C-101B-9397-08002B2CF9AE}" pid="6" name="MSIP_Label_9d566160-095f-49ad-a492-939c63d1dbb9_Name">
    <vt:lpwstr>General</vt:lpwstr>
  </property>
  <property fmtid="{D5CDD505-2E9C-101B-9397-08002B2CF9AE}" pid="7" name="MSIP_Label_9d566160-095f-49ad-a492-939c63d1dbb9_SiteId">
    <vt:lpwstr>a5a71ec6-4905-4113-af0f-6d27bd2c91ce</vt:lpwstr>
  </property>
  <property fmtid="{D5CDD505-2E9C-101B-9397-08002B2CF9AE}" pid="8" name="MSIP_Label_9d566160-095f-49ad-a492-939c63d1dbb9_ActionId">
    <vt:lpwstr>5039333b-c641-4318-a8b0-ca200ef0d0b6</vt:lpwstr>
  </property>
  <property fmtid="{D5CDD505-2E9C-101B-9397-08002B2CF9AE}" pid="9" name="MSIP_Label_9d566160-095f-49ad-a492-939c63d1dbb9_ContentBits">
    <vt:lpwstr>2</vt:lpwstr>
  </property>
  <property fmtid="{D5CDD505-2E9C-101B-9397-08002B2CF9AE}" pid="10" name="ContentTypeId">
    <vt:lpwstr>0x0101002A6471C39C2DFF43BD30150EA9D28AE4</vt:lpwstr>
  </property>
</Properties>
</file>